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3cu\Desktop\"/>
    </mc:Choice>
  </mc:AlternateContent>
  <bookViews>
    <workbookView xWindow="0" yWindow="0" windowWidth="19200" windowHeight="11595"/>
  </bookViews>
  <sheets>
    <sheet name="Calendário FCX 2017" sheetId="4" r:id="rId1"/>
  </sheets>
  <definedNames>
    <definedName name="__xlnm.Print_Area_1" localSheetId="0">'Calendário FCX 2017'!$B$2:$Z$58</definedName>
    <definedName name="__xlnm.Print_Area_1">#REF!</definedName>
    <definedName name="AbrDom1" localSheetId="0">DATE('Calendário FCX 2017'!CalendárioAno,4,1)-WEEKDAY(DATE('Calendário FCX 2017'!CalendárioAno,4,1))+1</definedName>
    <definedName name="AbrDom1">DATE(CalendárioAno,4,1)-WEEKDAY(DATE(CalendárioAno,4,1))+1</definedName>
    <definedName name="AgoDom1" localSheetId="0">DATE('Calendário FCX 2017'!CalendárioAno,8,1)-WEEKDAY(DATE('Calendário FCX 2017'!CalendárioAno,8,1))+1</definedName>
    <definedName name="AgoDom1">DATE(CalendárioAno,8,1)-WEEKDAY(DATE(CalendárioAno,8,1))+1</definedName>
    <definedName name="_xlnm.Print_Area" localSheetId="0">'Calendário FCX 2017'!$B$2:$Z$58</definedName>
    <definedName name="CalendárioAno" localSheetId="0">'Calendário FCX 2017'!$B$2</definedName>
    <definedName name="CalendárioAno">#REF!</definedName>
    <definedName name="DezDom1" localSheetId="0">DATE('Calendário FCX 2017'!CalendárioAno,12,1)-WEEKDAY(DATE('Calendário FCX 2017'!CalendárioAno,12,1))+1</definedName>
    <definedName name="DezDom1">DATE(CalendárioAno,12,1)-WEEKDAY(DATE(CalendárioAno,12,1))+1</definedName>
    <definedName name="FevDom1" localSheetId="0">DATE('Calendário FCX 2017'!CalendárioAno,2,1)-WEEKDAY(DATE('Calendário FCX 2017'!CalendárioAno,2,1))+1</definedName>
    <definedName name="FevDom1">DATE(CalendárioAno,2,1)-WEEKDAY(DATE(CalendárioAno,2,1))+1</definedName>
    <definedName name="JanDom1" localSheetId="0">DATE('Calendário FCX 2017'!CalendárioAno,1,1)-WEEKDAY(DATE('Calendário FCX 2017'!CalendárioAno,1,1))+1</definedName>
    <definedName name="JanDom1">DATE(CalendárioAno,1,1)-WEEKDAY(DATE(CalendárioAno,1,1))+1</definedName>
    <definedName name="JulDom1" localSheetId="0">DATE('Calendário FCX 2017'!CalendárioAno,7,1)-WEEKDAY(DATE('Calendário FCX 2017'!CalendárioAno,7,1))+1</definedName>
    <definedName name="JulDom1">DATE(CalendárioAno,7,1)-WEEKDAY(DATE(CalendárioAno,7,1))+1</definedName>
    <definedName name="JunDom1" localSheetId="0">DATE('Calendário FCX 2017'!CalendárioAno,6,1)-WEEKDAY(DATE('Calendário FCX 2017'!CalendárioAno,6,1))+1</definedName>
    <definedName name="JunDom1">DATE(CalendárioAno,6,1)-WEEKDAY(DATE(CalendárioAno,6,1))+1</definedName>
    <definedName name="MaiDom1" localSheetId="0">DATE('Calendário FCX 2017'!CalendárioAno,5,1)-WEEKDAY(DATE('Calendário FCX 2017'!CalendárioAno,5,1))+1</definedName>
    <definedName name="MaiDom1">DATE(CalendárioAno,5,1)-WEEKDAY(DATE(CalendárioAno,5,1))+1</definedName>
    <definedName name="MarDom1" localSheetId="0">DATE('Calendário FCX 2017'!CalendárioAno,3,1)-WEEKDAY(DATE('Calendário FCX 2017'!CalendárioAno,3,1))+1</definedName>
    <definedName name="MarDom1">DATE(CalendárioAno,3,1)-WEEKDAY(DATE(CalendárioAno,3,1))+1</definedName>
    <definedName name="NovDom1" localSheetId="0">DATE('Calendário FCX 2017'!CalendárioAno,11,1)-WEEKDAY(DATE('Calendário FCX 2017'!CalendárioAno,11,1))+1</definedName>
    <definedName name="NovDom1">DATE(CalendárioAno,11,1)-WEEKDAY(DATE(CalendárioAno,11,1))+1</definedName>
    <definedName name="OutDom1" localSheetId="0">DATE('Calendário FCX 2017'!CalendárioAno,10,1)-WEEKDAY(DATE('Calendário FCX 2017'!CalendárioAno,10,1))+1</definedName>
    <definedName name="OutDom1">DATE(CalendárioAno,10,1)-WEEKDAY(DATE(CalendárioAno,10,1))+1</definedName>
    <definedName name="SetDom1" localSheetId="0">DATE('Calendário FCX 2017'!CalendárioAno,9,1)-WEEKDAY(DATE('Calendário FCX 2017'!CalendárioAno,9,1))+1</definedName>
    <definedName name="SetDom1">DATE(CalendárioAno,9,1)-WEEKDAY(DATE(CalendárioAno,9,1))+1</definedName>
  </definedNames>
  <calcPr calcId="152511" calcMode="manual"/>
</workbook>
</file>

<file path=xl/calcChain.xml><?xml version="1.0" encoding="utf-8"?>
<calcChain xmlns="http://schemas.openxmlformats.org/spreadsheetml/2006/main">
  <c r="K9" i="4" l="1"/>
  <c r="H56" i="4"/>
  <c r="G56" i="4"/>
  <c r="F56" i="4"/>
  <c r="P55" i="4"/>
  <c r="O55" i="4"/>
  <c r="N55" i="4"/>
  <c r="M55" i="4"/>
  <c r="L55" i="4"/>
  <c r="K55" i="4"/>
  <c r="J55" i="4"/>
  <c r="H55" i="4"/>
  <c r="G55" i="4"/>
  <c r="F55" i="4"/>
  <c r="E55" i="4"/>
  <c r="D55" i="4"/>
  <c r="C55" i="4"/>
  <c r="B55" i="4"/>
  <c r="P54" i="4"/>
  <c r="O54" i="4"/>
  <c r="N54" i="4"/>
  <c r="M54" i="4"/>
  <c r="L54" i="4"/>
  <c r="K54" i="4"/>
  <c r="J54" i="4"/>
  <c r="H54" i="4"/>
  <c r="G54" i="4"/>
  <c r="F54" i="4"/>
  <c r="E54" i="4"/>
  <c r="D54" i="4"/>
  <c r="C54" i="4"/>
  <c r="B54" i="4"/>
  <c r="P53" i="4"/>
  <c r="O53" i="4"/>
  <c r="N53" i="4"/>
  <c r="M53" i="4"/>
  <c r="L53" i="4"/>
  <c r="K53" i="4"/>
  <c r="J53" i="4"/>
  <c r="H53" i="4"/>
  <c r="G53" i="4"/>
  <c r="F53" i="4"/>
  <c r="E53" i="4"/>
  <c r="D53" i="4"/>
  <c r="C53" i="4"/>
  <c r="B53" i="4"/>
  <c r="P52" i="4"/>
  <c r="O52" i="4"/>
  <c r="N52" i="4"/>
  <c r="M52" i="4"/>
  <c r="L52" i="4"/>
  <c r="K52" i="4"/>
  <c r="J52" i="4"/>
  <c r="H52" i="4"/>
  <c r="G52" i="4"/>
  <c r="F52" i="4"/>
  <c r="E52" i="4"/>
  <c r="D52" i="4"/>
  <c r="C52" i="4"/>
  <c r="B52" i="4"/>
  <c r="P51" i="4"/>
  <c r="O51" i="4"/>
  <c r="N51" i="4"/>
  <c r="M51" i="4"/>
  <c r="L51" i="4"/>
  <c r="K51" i="4"/>
  <c r="J51" i="4"/>
  <c r="H51" i="4"/>
  <c r="G51" i="4"/>
  <c r="F51" i="4"/>
  <c r="E51" i="4"/>
  <c r="D51" i="4"/>
  <c r="C51" i="4"/>
  <c r="B51" i="4"/>
  <c r="P47" i="4"/>
  <c r="O47" i="4"/>
  <c r="N47" i="4"/>
  <c r="M47" i="4"/>
  <c r="L47" i="4"/>
  <c r="K47" i="4"/>
  <c r="J47" i="4"/>
  <c r="H47" i="4"/>
  <c r="G47" i="4"/>
  <c r="F47" i="4"/>
  <c r="E47" i="4"/>
  <c r="D47" i="4"/>
  <c r="C47" i="4"/>
  <c r="B47" i="4"/>
  <c r="P46" i="4"/>
  <c r="O46" i="4"/>
  <c r="N46" i="4"/>
  <c r="M46" i="4"/>
  <c r="L46" i="4"/>
  <c r="K46" i="4"/>
  <c r="J46" i="4"/>
  <c r="H46" i="4"/>
  <c r="G46" i="4"/>
  <c r="F46" i="4"/>
  <c r="E46" i="4"/>
  <c r="D46" i="4"/>
  <c r="C46" i="4"/>
  <c r="B46" i="4"/>
  <c r="P45" i="4"/>
  <c r="O45" i="4"/>
  <c r="N45" i="4"/>
  <c r="M45" i="4"/>
  <c r="L45" i="4"/>
  <c r="K45" i="4"/>
  <c r="J45" i="4"/>
  <c r="H45" i="4"/>
  <c r="G45" i="4"/>
  <c r="F45" i="4"/>
  <c r="E45" i="4"/>
  <c r="D45" i="4"/>
  <c r="C45" i="4"/>
  <c r="B45" i="4"/>
  <c r="P44" i="4"/>
  <c r="O44" i="4"/>
  <c r="N44" i="4"/>
  <c r="M44" i="4"/>
  <c r="L44" i="4"/>
  <c r="K44" i="4"/>
  <c r="J44" i="4"/>
  <c r="H44" i="4"/>
  <c r="G44" i="4"/>
  <c r="F44" i="4"/>
  <c r="E44" i="4"/>
  <c r="D44" i="4"/>
  <c r="C44" i="4"/>
  <c r="B44" i="4"/>
  <c r="P43" i="4"/>
  <c r="O43" i="4"/>
  <c r="N43" i="4"/>
  <c r="M43" i="4"/>
  <c r="L43" i="4"/>
  <c r="K43" i="4"/>
  <c r="J43" i="4"/>
  <c r="H43" i="4"/>
  <c r="G43" i="4"/>
  <c r="F43" i="4"/>
  <c r="E43" i="4"/>
  <c r="D43" i="4"/>
  <c r="C43" i="4"/>
  <c r="B43" i="4"/>
  <c r="P42" i="4"/>
  <c r="O42" i="4"/>
  <c r="N42" i="4"/>
  <c r="M42" i="4"/>
  <c r="L42" i="4"/>
  <c r="K42" i="4"/>
  <c r="J42" i="4"/>
  <c r="H42" i="4"/>
  <c r="G42" i="4"/>
  <c r="F42" i="4"/>
  <c r="E42" i="4"/>
  <c r="D42" i="4"/>
  <c r="C42" i="4"/>
  <c r="B42" i="4"/>
  <c r="P37" i="4"/>
  <c r="O37" i="4"/>
  <c r="N37" i="4"/>
  <c r="M37" i="4"/>
  <c r="L37" i="4"/>
  <c r="K37" i="4"/>
  <c r="J37" i="4"/>
  <c r="H37" i="4"/>
  <c r="G37" i="4"/>
  <c r="F37" i="4"/>
  <c r="E37" i="4"/>
  <c r="D37" i="4"/>
  <c r="C37" i="4"/>
  <c r="B37" i="4"/>
  <c r="P36" i="4"/>
  <c r="O36" i="4"/>
  <c r="N36" i="4"/>
  <c r="M36" i="4"/>
  <c r="L36" i="4"/>
  <c r="K36" i="4"/>
  <c r="J36" i="4"/>
  <c r="H36" i="4"/>
  <c r="G36" i="4"/>
  <c r="F36" i="4"/>
  <c r="E36" i="4"/>
  <c r="D36" i="4"/>
  <c r="C36" i="4"/>
  <c r="B36" i="4"/>
  <c r="P35" i="4"/>
  <c r="O35" i="4"/>
  <c r="N35" i="4"/>
  <c r="M35" i="4"/>
  <c r="L35" i="4"/>
  <c r="K35" i="4"/>
  <c r="J35" i="4"/>
  <c r="H35" i="4"/>
  <c r="G35" i="4"/>
  <c r="F35" i="4"/>
  <c r="E35" i="4"/>
  <c r="D35" i="4"/>
  <c r="C35" i="4"/>
  <c r="B35" i="4"/>
  <c r="P34" i="4"/>
  <c r="O34" i="4"/>
  <c r="N34" i="4"/>
  <c r="M34" i="4"/>
  <c r="L34" i="4"/>
  <c r="K34" i="4"/>
  <c r="J34" i="4"/>
  <c r="H34" i="4"/>
  <c r="G34" i="4"/>
  <c r="F34" i="4"/>
  <c r="E34" i="4"/>
  <c r="D34" i="4"/>
  <c r="C34" i="4"/>
  <c r="B34" i="4"/>
  <c r="P33" i="4"/>
  <c r="O33" i="4"/>
  <c r="N33" i="4"/>
  <c r="M33" i="4"/>
  <c r="L33" i="4"/>
  <c r="K33" i="4"/>
  <c r="J33" i="4"/>
  <c r="H33" i="4"/>
  <c r="G33" i="4"/>
  <c r="F33" i="4"/>
  <c r="E33" i="4"/>
  <c r="D33" i="4"/>
  <c r="C33" i="4"/>
  <c r="B33" i="4"/>
  <c r="P32" i="4"/>
  <c r="O32" i="4"/>
  <c r="N32" i="4"/>
  <c r="M32" i="4"/>
  <c r="L32" i="4"/>
  <c r="K32" i="4"/>
  <c r="J32" i="4"/>
  <c r="H32" i="4"/>
  <c r="G32" i="4"/>
  <c r="F32" i="4"/>
  <c r="E32" i="4"/>
  <c r="D32" i="4"/>
  <c r="C32" i="4"/>
  <c r="B32" i="4"/>
  <c r="P28" i="4"/>
  <c r="O28" i="4"/>
  <c r="N28" i="4"/>
  <c r="M28" i="4"/>
  <c r="L28" i="4"/>
  <c r="K28" i="4"/>
  <c r="J28" i="4"/>
  <c r="H28" i="4"/>
  <c r="G28" i="4"/>
  <c r="F28" i="4"/>
  <c r="E28" i="4"/>
  <c r="D28" i="4"/>
  <c r="C28" i="4"/>
  <c r="B28" i="4"/>
  <c r="P27" i="4"/>
  <c r="O27" i="4"/>
  <c r="N27" i="4"/>
  <c r="M27" i="4"/>
  <c r="L27" i="4"/>
  <c r="K27" i="4"/>
  <c r="J27" i="4"/>
  <c r="H27" i="4"/>
  <c r="G27" i="4"/>
  <c r="F27" i="4"/>
  <c r="E27" i="4"/>
  <c r="D27" i="4"/>
  <c r="C27" i="4"/>
  <c r="B27" i="4"/>
  <c r="P26" i="4"/>
  <c r="O26" i="4"/>
  <c r="N26" i="4"/>
  <c r="M26" i="4"/>
  <c r="L26" i="4"/>
  <c r="K26" i="4"/>
  <c r="J26" i="4"/>
  <c r="H26" i="4"/>
  <c r="G26" i="4"/>
  <c r="F26" i="4"/>
  <c r="E26" i="4"/>
  <c r="D26" i="4"/>
  <c r="C26" i="4"/>
  <c r="B26" i="4"/>
  <c r="P25" i="4"/>
  <c r="O25" i="4"/>
  <c r="N25" i="4"/>
  <c r="M25" i="4"/>
  <c r="L25" i="4"/>
  <c r="K25" i="4"/>
  <c r="J25" i="4"/>
  <c r="H25" i="4"/>
  <c r="G25" i="4"/>
  <c r="F25" i="4"/>
  <c r="E25" i="4"/>
  <c r="D25" i="4"/>
  <c r="C25" i="4"/>
  <c r="B25" i="4"/>
  <c r="P24" i="4"/>
  <c r="O24" i="4"/>
  <c r="N24" i="4"/>
  <c r="M24" i="4"/>
  <c r="L24" i="4"/>
  <c r="K24" i="4"/>
  <c r="J24" i="4"/>
  <c r="H24" i="4"/>
  <c r="G24" i="4"/>
  <c r="F24" i="4"/>
  <c r="E24" i="4"/>
  <c r="D24" i="4"/>
  <c r="C24" i="4"/>
  <c r="B24" i="4"/>
  <c r="P23" i="4"/>
  <c r="O23" i="4"/>
  <c r="N23" i="4"/>
  <c r="M23" i="4"/>
  <c r="L23" i="4"/>
  <c r="K23" i="4"/>
  <c r="J23" i="4"/>
  <c r="H23" i="4"/>
  <c r="G23" i="4"/>
  <c r="F23" i="4"/>
  <c r="E23" i="4"/>
  <c r="D23" i="4"/>
  <c r="C23" i="4"/>
  <c r="B23" i="4"/>
  <c r="P20" i="4"/>
  <c r="O20" i="4"/>
  <c r="N20" i="4"/>
  <c r="M20" i="4"/>
  <c r="L20" i="4"/>
  <c r="K20" i="4"/>
  <c r="J20" i="4"/>
  <c r="H20" i="4"/>
  <c r="G20" i="4"/>
  <c r="F20" i="4"/>
  <c r="E20" i="4"/>
  <c r="D20" i="4"/>
  <c r="C20" i="4"/>
  <c r="B20" i="4"/>
  <c r="P19" i="4"/>
  <c r="O19" i="4"/>
  <c r="N19" i="4"/>
  <c r="M19" i="4"/>
  <c r="L19" i="4"/>
  <c r="K19" i="4"/>
  <c r="J19" i="4"/>
  <c r="H19" i="4"/>
  <c r="G19" i="4"/>
  <c r="F19" i="4"/>
  <c r="E19" i="4"/>
  <c r="D19" i="4"/>
  <c r="C19" i="4"/>
  <c r="B19" i="4"/>
  <c r="P18" i="4"/>
  <c r="O18" i="4"/>
  <c r="N18" i="4"/>
  <c r="M18" i="4"/>
  <c r="L18" i="4"/>
  <c r="K18" i="4"/>
  <c r="J18" i="4"/>
  <c r="H18" i="4"/>
  <c r="G18" i="4"/>
  <c r="F18" i="4"/>
  <c r="E18" i="4"/>
  <c r="D18" i="4"/>
  <c r="C18" i="4"/>
  <c r="B18" i="4"/>
  <c r="P17" i="4"/>
  <c r="O17" i="4"/>
  <c r="N17" i="4"/>
  <c r="M17" i="4"/>
  <c r="L17" i="4"/>
  <c r="K17" i="4"/>
  <c r="J17" i="4"/>
  <c r="H17" i="4"/>
  <c r="G17" i="4"/>
  <c r="F17" i="4"/>
  <c r="E17" i="4"/>
  <c r="D17" i="4"/>
  <c r="C17" i="4"/>
  <c r="B17" i="4"/>
  <c r="P16" i="4"/>
  <c r="O16" i="4"/>
  <c r="N16" i="4"/>
  <c r="M16" i="4"/>
  <c r="L16" i="4"/>
  <c r="K16" i="4"/>
  <c r="J16" i="4"/>
  <c r="H16" i="4"/>
  <c r="G16" i="4"/>
  <c r="F16" i="4"/>
  <c r="E16" i="4"/>
  <c r="D16" i="4"/>
  <c r="C16" i="4"/>
  <c r="B16" i="4"/>
  <c r="P15" i="4"/>
  <c r="O15" i="4"/>
  <c r="N15" i="4"/>
  <c r="M15" i="4"/>
  <c r="L15" i="4"/>
  <c r="K15" i="4"/>
  <c r="J15" i="4"/>
  <c r="H15" i="4"/>
  <c r="G15" i="4"/>
  <c r="F15" i="4"/>
  <c r="E15" i="4"/>
  <c r="D15" i="4"/>
  <c r="C15" i="4"/>
  <c r="B15" i="4"/>
  <c r="P11" i="4"/>
  <c r="O11" i="4"/>
  <c r="N11" i="4"/>
  <c r="M11" i="4"/>
  <c r="L11" i="4"/>
  <c r="K11" i="4"/>
  <c r="J11" i="4"/>
  <c r="H11" i="4"/>
  <c r="G11" i="4"/>
  <c r="F11" i="4"/>
  <c r="E11" i="4"/>
  <c r="D11" i="4"/>
  <c r="C11" i="4"/>
  <c r="B11" i="4"/>
  <c r="P10" i="4"/>
  <c r="O10" i="4"/>
  <c r="N10" i="4"/>
  <c r="M10" i="4"/>
  <c r="L10" i="4"/>
  <c r="K10" i="4"/>
  <c r="J10" i="4"/>
  <c r="H10" i="4"/>
  <c r="G10" i="4"/>
  <c r="F10" i="4"/>
  <c r="E10" i="4"/>
  <c r="D10" i="4"/>
  <c r="C10" i="4"/>
  <c r="B10" i="4"/>
  <c r="P9" i="4"/>
  <c r="O9" i="4"/>
  <c r="N9" i="4"/>
  <c r="M9" i="4"/>
  <c r="L9" i="4"/>
  <c r="J9" i="4"/>
  <c r="H9" i="4"/>
  <c r="G9" i="4"/>
  <c r="F9" i="4"/>
  <c r="E9" i="4"/>
  <c r="D9" i="4"/>
  <c r="C9" i="4"/>
  <c r="B9" i="4"/>
  <c r="P8" i="4"/>
  <c r="O8" i="4"/>
  <c r="N8" i="4"/>
  <c r="M8" i="4"/>
  <c r="L8" i="4"/>
  <c r="K8" i="4"/>
  <c r="J8" i="4"/>
  <c r="H8" i="4"/>
  <c r="G8" i="4"/>
  <c r="F8" i="4"/>
  <c r="E8" i="4"/>
  <c r="D8" i="4"/>
  <c r="C8" i="4"/>
  <c r="B8" i="4"/>
  <c r="P7" i="4"/>
  <c r="O7" i="4"/>
  <c r="N7" i="4"/>
  <c r="M7" i="4"/>
  <c r="L7" i="4"/>
  <c r="K7" i="4"/>
  <c r="J7" i="4"/>
  <c r="H7" i="4"/>
  <c r="G7" i="4"/>
  <c r="F7" i="4"/>
  <c r="E7" i="4"/>
  <c r="D7" i="4"/>
  <c r="C7" i="4"/>
  <c r="B7" i="4"/>
  <c r="P6" i="4"/>
  <c r="O6" i="4"/>
  <c r="N6" i="4"/>
  <c r="M6" i="4"/>
  <c r="L6" i="4"/>
  <c r="K6" i="4"/>
  <c r="J6" i="4"/>
  <c r="H6" i="4"/>
  <c r="G6" i="4"/>
  <c r="F6" i="4"/>
  <c r="E6" i="4"/>
  <c r="D6" i="4"/>
  <c r="C6" i="4"/>
  <c r="B6" i="4"/>
</calcChain>
</file>

<file path=xl/sharedStrings.xml><?xml version="1.0" encoding="utf-8"?>
<sst xmlns="http://schemas.openxmlformats.org/spreadsheetml/2006/main" count="249" uniqueCount="135">
  <si>
    <t>ABRIL</t>
  </si>
  <si>
    <t>JUNHO</t>
  </si>
  <si>
    <t>JULHO</t>
  </si>
  <si>
    <t>AGOSTO</t>
  </si>
  <si>
    <t>SETEMBRO</t>
  </si>
  <si>
    <t>OUTUBRO</t>
  </si>
  <si>
    <t>NOVEMBRO</t>
  </si>
  <si>
    <t>DEZEMBRO</t>
  </si>
  <si>
    <t>Festival Panamericano da Juventude</t>
  </si>
  <si>
    <t>Dias</t>
  </si>
  <si>
    <t>Calendário CBX</t>
  </si>
  <si>
    <t>Calendário FIDE</t>
  </si>
  <si>
    <t>Evento/Mês</t>
  </si>
  <si>
    <t>R$ / Participantes</t>
  </si>
  <si>
    <t>FCX</t>
  </si>
  <si>
    <t>PROGRAMAÇÃO ANUAL FCX - 2017</t>
  </si>
  <si>
    <t>20 a 26</t>
  </si>
  <si>
    <t>III Floripa Chess Open</t>
  </si>
  <si>
    <t>R$ 22.000,00 / 400</t>
  </si>
  <si>
    <t>Cidade/Clube</t>
  </si>
  <si>
    <t>C.X.Florianópolis</t>
  </si>
  <si>
    <t>Assembleia FCX</t>
  </si>
  <si>
    <t>27/1 a 01/2</t>
  </si>
  <si>
    <t>IV Floripa Chess Masters</t>
  </si>
  <si>
    <t>Norma GM</t>
  </si>
  <si>
    <t>II Magistral Lourenço João Cordioli</t>
  </si>
  <si>
    <t>Norma MI</t>
  </si>
  <si>
    <t>Fevereiro</t>
  </si>
  <si>
    <t>Janeiro</t>
  </si>
  <si>
    <t>17 a 19</t>
  </si>
  <si>
    <t>C.X.Joinville</t>
  </si>
  <si>
    <t>Aberto de Joinville 2017 - U2200</t>
  </si>
  <si>
    <t>Março</t>
  </si>
  <si>
    <t>11 e 12</t>
  </si>
  <si>
    <t>FESCRI - Festival Catarinense da Criança</t>
  </si>
  <si>
    <t>C.X.Blumenau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</si>
  <si>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</si>
  <si>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</si>
  <si>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</si>
  <si>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</si>
  <si>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</si>
  <si>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</si>
  <si>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</si>
  <si>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</si>
  <si>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</si>
  <si>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Poços de Caldas/MG</t>
  </si>
  <si>
    <t>Montevidéo/URU</t>
  </si>
  <si>
    <t>Mundial Cadetes (sub 08,10,12)</t>
  </si>
  <si>
    <t>Mundial da Juventude (sub14,16,18)</t>
  </si>
  <si>
    <t>Costa Rica</t>
  </si>
  <si>
    <t>Festival Sulamericano da Juventude</t>
  </si>
  <si>
    <t>1 a 7 de dezembro</t>
  </si>
  <si>
    <t>21 a 31 de agosto</t>
  </si>
  <si>
    <t>15 a 27 de setembro</t>
  </si>
  <si>
    <t>30/6 a 7 de julho</t>
  </si>
  <si>
    <t>Paraguai</t>
  </si>
  <si>
    <t>Sulamericano Juvenil</t>
  </si>
  <si>
    <t>25 a 30 de abril</t>
  </si>
  <si>
    <t>Equador</t>
  </si>
  <si>
    <t>Panamericano Juvenil</t>
  </si>
  <si>
    <t>El Salvador</t>
  </si>
  <si>
    <t>31/10 a 7 de novembro</t>
  </si>
  <si>
    <t>Zonal 2.4 - 2 vagas p/ Copa do Mundo</t>
  </si>
  <si>
    <t>Brasília/DF</t>
  </si>
  <si>
    <t>FENAC - Festival Nacional da Criança</t>
  </si>
  <si>
    <t>FENAJ - Festival Nacional da Juventude</t>
  </si>
  <si>
    <t>Semi-Final do Brasileiro Feminino</t>
  </si>
  <si>
    <t>Brasileiro Escolar</t>
  </si>
  <si>
    <t>Regional Sul Brasileiro Amador</t>
  </si>
  <si>
    <t>7 a 9</t>
  </si>
  <si>
    <t>FECAJ - Festival Catarinense da Juventude</t>
  </si>
  <si>
    <t>C.Concordiense X.</t>
  </si>
  <si>
    <t>29/06 a 02/07</t>
  </si>
  <si>
    <t>ACX - Içara</t>
  </si>
  <si>
    <t>R$ 3000,00 /</t>
  </si>
  <si>
    <t>JANEIRO</t>
  </si>
  <si>
    <t>FEVEREIRO</t>
  </si>
  <si>
    <t>S</t>
  </si>
  <si>
    <t>T</t>
  </si>
  <si>
    <t>Q</t>
  </si>
  <si>
    <t>D</t>
  </si>
  <si>
    <t>MARÇO</t>
  </si>
  <si>
    <t>MAIO</t>
  </si>
  <si>
    <t>Final Aberta - Catarinense Feminino 2016</t>
  </si>
  <si>
    <t>Final Aberta - 62º Catarinense Absoluto 2016</t>
  </si>
  <si>
    <t>26/4 a 1/5</t>
  </si>
  <si>
    <t>C.X.Itajaí</t>
  </si>
  <si>
    <t>1 a 4</t>
  </si>
  <si>
    <t>7 a 9 de setembro</t>
  </si>
  <si>
    <t>21 a 23</t>
  </si>
  <si>
    <t>III Internacional de Concórdia</t>
  </si>
  <si>
    <t>FINAL - XIX Catarinense RPD e BLZ</t>
  </si>
  <si>
    <t>R$ 4.500,00 /</t>
  </si>
  <si>
    <t>R$ 2.000,00 /</t>
  </si>
  <si>
    <t>R$ 6.000,00 /</t>
  </si>
  <si>
    <t>R$ 15.000,00 /</t>
  </si>
  <si>
    <t>Final Brasileiro Absoluto 2016</t>
  </si>
  <si>
    <t>Final Brasileiro Feminino 2016</t>
  </si>
  <si>
    <t>Curitiba/PR</t>
  </si>
  <si>
    <t>Regional Sul Brasileiro</t>
  </si>
  <si>
    <t>Calendário CBX e FIDE</t>
  </si>
  <si>
    <t>1 a 4 de junho</t>
  </si>
  <si>
    <t>29 de junho a 2 de julho</t>
  </si>
  <si>
    <t>26 de abril a 1 de maio</t>
  </si>
  <si>
    <t>Sul Brasileiro Juvenil (sub 12, 16 e 20)</t>
  </si>
  <si>
    <t>Ivoti/RS</t>
  </si>
  <si>
    <t>Regional Sul Escolar</t>
  </si>
  <si>
    <t>17 de junho</t>
  </si>
  <si>
    <t>Rio de Janeiro/RJ</t>
  </si>
  <si>
    <t>Florianópolis/SC</t>
  </si>
  <si>
    <t>Itajaí/SC</t>
  </si>
  <si>
    <t>Içara/SC</t>
  </si>
  <si>
    <t>Blumenau/SC</t>
  </si>
  <si>
    <t>Continental STD, RPD e BLZ</t>
  </si>
  <si>
    <t>9 a 19 de junho</t>
  </si>
  <si>
    <t>15 e 16 de junho</t>
  </si>
  <si>
    <t>21 a 23 de abril</t>
  </si>
  <si>
    <t>14 a 16 de abril</t>
  </si>
  <si>
    <t>Medellín/Colômbia</t>
  </si>
  <si>
    <t>Panamericano Escolar</t>
  </si>
  <si>
    <t>11 a 18 de dezembro</t>
  </si>
  <si>
    <t>Aberto SC - Clássico</t>
  </si>
  <si>
    <t>Vagas FENAC</t>
  </si>
  <si>
    <t>Vagas FENAJ</t>
  </si>
  <si>
    <t>Vagas Pan e Mundial</t>
  </si>
  <si>
    <t>Final Aberta - 63º Catarinense Absoluto 2017</t>
  </si>
  <si>
    <t>Final Aberta - Catarinense Feminino 2017</t>
  </si>
  <si>
    <t>Catarinense Juvenil</t>
  </si>
  <si>
    <t>16 a 21 de fevereiro</t>
  </si>
  <si>
    <t>6 a 14 de fevereiro</t>
  </si>
  <si>
    <t>Aberto SC - Rápido</t>
  </si>
  <si>
    <t>ABRAX - Braço do Norte</t>
  </si>
  <si>
    <t>Fide + Vaga Brasileiro</t>
  </si>
  <si>
    <t>Fide + Vaga Final</t>
  </si>
  <si>
    <t>Última atualização em 01/mar/2017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</si>
</sst>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R$&quot;\ #,##0;[Red]\-&quot;R$&quot;\ #,##0"/>
    <numFmt numFmtId="164" formatCode="d"/>
  </numFmts>
  <fonts count="31" x14ac:knownFonts="1">
    <font>
      <sz val="10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  <charset val="1"/>
    </font>
    <font>
      <b/>
      <sz val="12"/>
      <color indexed="55"/>
      <name val="Calibri"/>
      <family val="2"/>
    </font>
    <font>
      <b/>
      <sz val="12"/>
      <color indexed="54"/>
      <name val="Calibri"/>
      <family val="2"/>
    </font>
    <font>
      <b/>
      <sz val="12"/>
      <color indexed="20"/>
      <name val="Calibri"/>
      <family val="2"/>
    </font>
    <font>
      <sz val="12"/>
      <color indexed="14"/>
      <name val="Calibri"/>
      <family val="2"/>
    </font>
    <font>
      <sz val="12"/>
      <color indexed="20"/>
      <name val="Calibri"/>
      <family val="2"/>
    </font>
    <font>
      <sz val="12"/>
      <color indexed="13"/>
      <name val="Calibri"/>
      <family val="2"/>
    </font>
    <font>
      <sz val="12"/>
      <color indexed="17"/>
      <name val="Calibri"/>
      <family val="2"/>
    </font>
    <font>
      <sz val="12"/>
      <color indexed="12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24"/>
      <color indexed="9"/>
      <name val="Calibri"/>
      <family val="2"/>
    </font>
    <font>
      <b/>
      <i/>
      <sz val="11"/>
      <color indexed="8"/>
      <name val="Arial"/>
      <family val="2"/>
    </font>
    <font>
      <sz val="10.5"/>
      <color indexed="8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1"/>
    </font>
    <font>
      <b/>
      <sz val="10"/>
      <color rgb="FF002060"/>
      <name val="Arial"/>
      <family val="2"/>
    </font>
    <font>
      <u/>
      <sz val="10"/>
      <color theme="10"/>
      <name val="Arial"/>
      <family val="2"/>
    </font>
    <font>
      <sz val="12"/>
      <color rgb="FF002060"/>
      <name val="Calibri"/>
      <family val="2"/>
    </font>
    <font>
      <b/>
      <sz val="12"/>
      <name val="Calibri"/>
      <family val="2"/>
    </font>
    <font>
      <b/>
      <sz val="12"/>
      <color rgb="FF7030A0"/>
      <name val="Calibri"/>
      <family val="2"/>
    </font>
    <font>
      <b/>
      <sz val="10"/>
      <color rgb="FF7030A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50"/>
      </patternFill>
    </fill>
    <fill>
      <patternFill patternType="solid">
        <fgColor rgb="FF00B0F0"/>
        <bgColor indexed="50"/>
      </patternFill>
    </fill>
    <fill>
      <patternFill patternType="solid">
        <fgColor rgb="FF0070C0"/>
        <bgColor indexed="50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6" fillId="0" borderId="0" applyNumberFormat="0" applyFill="0" applyBorder="0" applyAlignment="0" applyProtection="0"/>
  </cellStyleXfs>
  <cellXfs count="122">
    <xf numFmtId="0" fontId="0" fillId="0" borderId="0" xfId="0"/>
    <xf numFmtId="0" fontId="2" fillId="0" borderId="0" xfId="1" applyFont="1"/>
    <xf numFmtId="0" fontId="5" fillId="0" borderId="0" xfId="1" applyFont="1" applyFill="1" applyBorder="1"/>
    <xf numFmtId="0" fontId="2" fillId="0" borderId="0" xfId="1" applyFont="1" applyFill="1" applyBorder="1"/>
    <xf numFmtId="0" fontId="5" fillId="0" borderId="0" xfId="1" applyFont="1" applyFill="1" applyBorder="1" applyAlignment="1"/>
    <xf numFmtId="0" fontId="6" fillId="0" borderId="0" xfId="1" applyFont="1" applyFill="1" applyBorder="1"/>
    <xf numFmtId="0" fontId="8" fillId="0" borderId="0" xfId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0" fontId="10" fillId="0" borderId="0" xfId="1" applyFont="1" applyFill="1" applyBorder="1"/>
    <xf numFmtId="164" fontId="5" fillId="0" borderId="0" xfId="1" applyNumberFormat="1" applyFont="1" applyFill="1" applyBorder="1"/>
    <xf numFmtId="164" fontId="2" fillId="0" borderId="0" xfId="1" applyNumberFormat="1" applyFont="1" applyFill="1" applyBorder="1"/>
    <xf numFmtId="0" fontId="9" fillId="0" borderId="0" xfId="1" applyFont="1" applyFill="1" applyBorder="1" applyAlignment="1">
      <alignment horizontal="center"/>
    </xf>
    <xf numFmtId="0" fontId="11" fillId="0" borderId="0" xfId="1" applyFont="1" applyFill="1" applyBorder="1"/>
    <xf numFmtId="0" fontId="12" fillId="0" borderId="0" xfId="1" applyFont="1" applyFill="1" applyBorder="1"/>
    <xf numFmtId="0" fontId="13" fillId="0" borderId="0" xfId="1" applyFont="1" applyFill="1" applyBorder="1"/>
    <xf numFmtId="0" fontId="14" fillId="0" borderId="0" xfId="1" applyFont="1" applyFill="1" applyBorder="1"/>
    <xf numFmtId="164" fontId="5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Border="1"/>
    <xf numFmtId="0" fontId="9" fillId="0" borderId="0" xfId="1" applyFont="1" applyFill="1" applyBorder="1" applyAlignment="1"/>
    <xf numFmtId="164" fontId="8" fillId="0" borderId="0" xfId="1" applyNumberFormat="1" applyFont="1" applyFill="1" applyBorder="1" applyAlignment="1">
      <alignment horizontal="center"/>
    </xf>
    <xf numFmtId="0" fontId="2" fillId="0" borderId="1" xfId="1" applyFont="1" applyBorder="1"/>
    <xf numFmtId="0" fontId="2" fillId="0" borderId="0" xfId="1" applyFont="1" applyBorder="1"/>
    <xf numFmtId="0" fontId="6" fillId="0" borderId="0" xfId="1" applyFont="1" applyBorder="1"/>
    <xf numFmtId="0" fontId="6" fillId="0" borderId="2" xfId="1" applyFont="1" applyBorder="1"/>
    <xf numFmtId="0" fontId="6" fillId="0" borderId="2" xfId="1" applyFont="1" applyFill="1" applyBorder="1"/>
    <xf numFmtId="0" fontId="0" fillId="0" borderId="0" xfId="0" applyBorder="1"/>
    <xf numFmtId="0" fontId="2" fillId="0" borderId="2" xfId="1" applyFont="1" applyBorder="1"/>
    <xf numFmtId="0" fontId="5" fillId="0" borderId="0" xfId="1" applyFont="1" applyBorder="1"/>
    <xf numFmtId="164" fontId="6" fillId="0" borderId="2" xfId="1" applyNumberFormat="1" applyFont="1" applyFill="1" applyBorder="1"/>
    <xf numFmtId="0" fontId="11" fillId="0" borderId="0" xfId="1" applyFont="1" applyBorder="1"/>
    <xf numFmtId="0" fontId="9" fillId="0" borderId="0" xfId="1" applyFont="1" applyBorder="1"/>
    <xf numFmtId="0" fontId="8" fillId="0" borderId="0" xfId="1" applyFont="1" applyBorder="1"/>
    <xf numFmtId="0" fontId="10" fillId="0" borderId="0" xfId="1" applyFont="1" applyBorder="1"/>
    <xf numFmtId="0" fontId="13" fillId="0" borderId="0" xfId="1" applyFont="1" applyBorder="1"/>
    <xf numFmtId="0" fontId="0" fillId="0" borderId="2" xfId="0" applyBorder="1"/>
    <xf numFmtId="0" fontId="14" fillId="0" borderId="0" xfId="1" applyFont="1" applyBorder="1"/>
    <xf numFmtId="164" fontId="22" fillId="0" borderId="0" xfId="1" applyNumberFormat="1" applyFont="1" applyFill="1" applyBorder="1" applyAlignment="1">
      <alignment horizontal="center"/>
    </xf>
    <xf numFmtId="164" fontId="9" fillId="0" borderId="4" xfId="1" applyNumberFormat="1" applyFont="1" applyFill="1" applyBorder="1" applyAlignment="1">
      <alignment horizontal="center"/>
    </xf>
    <xf numFmtId="0" fontId="2" fillId="0" borderId="4" xfId="1" applyFont="1" applyBorder="1"/>
    <xf numFmtId="0" fontId="2" fillId="0" borderId="5" xfId="1" applyFont="1" applyBorder="1"/>
    <xf numFmtId="0" fontId="16" fillId="0" borderId="0" xfId="1" applyFont="1"/>
    <xf numFmtId="6" fontId="23" fillId="0" borderId="7" xfId="1" applyNumberFormat="1" applyFont="1" applyBorder="1" applyAlignment="1">
      <alignment horizontal="center"/>
    </xf>
    <xf numFmtId="0" fontId="23" fillId="0" borderId="7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25" fillId="0" borderId="7" xfId="1" applyFont="1" applyFill="1" applyBorder="1" applyAlignment="1">
      <alignment horizontal="center"/>
    </xf>
    <xf numFmtId="0" fontId="3" fillId="5" borderId="8" xfId="1" applyFont="1" applyFill="1" applyBorder="1" applyAlignment="1">
      <alignment vertical="center"/>
    </xf>
    <xf numFmtId="0" fontId="4" fillId="5" borderId="8" xfId="1" applyFont="1" applyFill="1" applyBorder="1"/>
    <xf numFmtId="0" fontId="2" fillId="5" borderId="8" xfId="1" applyFont="1" applyFill="1" applyBorder="1"/>
    <xf numFmtId="0" fontId="2" fillId="5" borderId="8" xfId="1" applyFont="1" applyFill="1" applyBorder="1" applyAlignment="1">
      <alignment horizontal="center"/>
    </xf>
    <xf numFmtId="0" fontId="2" fillId="5" borderId="10" xfId="1" applyFont="1" applyFill="1" applyBorder="1"/>
    <xf numFmtId="0" fontId="17" fillId="4" borderId="0" xfId="1" applyFont="1" applyFill="1" applyBorder="1" applyAlignment="1"/>
    <xf numFmtId="0" fontId="2" fillId="4" borderId="0" xfId="1" applyFont="1" applyFill="1" applyBorder="1"/>
    <xf numFmtId="164" fontId="2" fillId="4" borderId="0" xfId="1" applyNumberFormat="1" applyFont="1" applyFill="1" applyBorder="1"/>
    <xf numFmtId="0" fontId="2" fillId="4" borderId="4" xfId="1" applyFont="1" applyFill="1" applyBorder="1"/>
    <xf numFmtId="0" fontId="18" fillId="4" borderId="0" xfId="1" applyFont="1" applyFill="1" applyBorder="1" applyAlignment="1"/>
    <xf numFmtId="0" fontId="23" fillId="3" borderId="4" xfId="1" applyFont="1" applyFill="1" applyBorder="1" applyAlignment="1">
      <alignment horizontal="center"/>
    </xf>
    <xf numFmtId="0" fontId="2" fillId="3" borderId="4" xfId="1" applyFont="1" applyFill="1" applyBorder="1"/>
    <xf numFmtId="6" fontId="25" fillId="0" borderId="7" xfId="1" applyNumberFormat="1" applyFont="1" applyFill="1" applyBorder="1" applyAlignment="1">
      <alignment horizontal="center"/>
    </xf>
    <xf numFmtId="0" fontId="21" fillId="0" borderId="0" xfId="1" applyFont="1" applyBorder="1" applyAlignment="1">
      <alignment vertical="center"/>
    </xf>
    <xf numFmtId="0" fontId="25" fillId="0" borderId="2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0" fontId="17" fillId="4" borderId="0" xfId="1" applyFont="1" applyFill="1" applyBorder="1" applyAlignment="1">
      <alignment horizontal="center"/>
    </xf>
    <xf numFmtId="0" fontId="8" fillId="0" borderId="0" xfId="1" applyFont="1" applyFill="1" applyBorder="1" applyAlignment="1"/>
    <xf numFmtId="164" fontId="8" fillId="0" borderId="0" xfId="1" applyNumberFormat="1" applyFont="1" applyFill="1" applyBorder="1"/>
    <xf numFmtId="0" fontId="9" fillId="0" borderId="0" xfId="1" applyFont="1" applyFill="1" applyBorder="1"/>
    <xf numFmtId="0" fontId="5" fillId="0" borderId="14" xfId="1" applyFont="1" applyFill="1" applyBorder="1"/>
    <xf numFmtId="0" fontId="2" fillId="0" borderId="14" xfId="1" applyFont="1" applyFill="1" applyBorder="1"/>
    <xf numFmtId="0" fontId="2" fillId="4" borderId="14" xfId="1" applyFont="1" applyFill="1" applyBorder="1"/>
    <xf numFmtId="0" fontId="17" fillId="4" borderId="14" xfId="1" applyFont="1" applyFill="1" applyBorder="1" applyAlignment="1">
      <alignment horizontal="center"/>
    </xf>
    <xf numFmtId="0" fontId="20" fillId="4" borderId="14" xfId="1" applyFont="1" applyFill="1" applyBorder="1" applyAlignment="1">
      <alignment horizontal="center"/>
    </xf>
    <xf numFmtId="0" fontId="6" fillId="0" borderId="14" xfId="1" applyFont="1" applyBorder="1"/>
    <xf numFmtId="0" fontId="6" fillId="0" borderId="6" xfId="1" applyFont="1" applyBorder="1"/>
    <xf numFmtId="0" fontId="26" fillId="0" borderId="16" xfId="2" applyBorder="1" applyAlignment="1">
      <alignment horizontal="center"/>
    </xf>
    <xf numFmtId="0" fontId="26" fillId="0" borderId="17" xfId="2" applyBorder="1" applyAlignment="1">
      <alignment horizontal="center"/>
    </xf>
    <xf numFmtId="0" fontId="15" fillId="2" borderId="19" xfId="1" applyFont="1" applyFill="1" applyBorder="1" applyAlignment="1">
      <alignment horizontal="center"/>
    </xf>
    <xf numFmtId="0" fontId="27" fillId="0" borderId="19" xfId="1" applyFont="1" applyFill="1" applyBorder="1" applyAlignment="1">
      <alignment horizontal="center"/>
    </xf>
    <xf numFmtId="0" fontId="25" fillId="0" borderId="19" xfId="1" applyFont="1" applyFill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19" xfId="1" applyFont="1" applyBorder="1"/>
    <xf numFmtId="0" fontId="15" fillId="2" borderId="18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27" fillId="0" borderId="2" xfId="1" applyFont="1" applyFill="1" applyBorder="1" applyAlignment="1">
      <alignment horizontal="center"/>
    </xf>
    <xf numFmtId="0" fontId="2" fillId="0" borderId="2" xfId="1" applyFont="1" applyFill="1" applyBorder="1"/>
    <xf numFmtId="0" fontId="16" fillId="0" borderId="0" xfId="1" applyFont="1" applyBorder="1"/>
    <xf numFmtId="0" fontId="2" fillId="0" borderId="0" xfId="1" applyFont="1" applyFill="1" applyBorder="1" applyAlignment="1">
      <alignment horizontal="center"/>
    </xf>
    <xf numFmtId="0" fontId="5" fillId="0" borderId="11" xfId="1" applyFont="1" applyFill="1" applyBorder="1"/>
    <xf numFmtId="0" fontId="8" fillId="0" borderId="1" xfId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/>
    </xf>
    <xf numFmtId="164" fontId="22" fillId="0" borderId="1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0" fontId="5" fillId="0" borderId="1" xfId="1" applyFont="1" applyBorder="1"/>
    <xf numFmtId="0" fontId="5" fillId="0" borderId="1" xfId="1" applyFont="1" applyFill="1" applyBorder="1"/>
    <xf numFmtId="164" fontId="9" fillId="0" borderId="3" xfId="1" applyNumberFormat="1" applyFont="1" applyFill="1" applyBorder="1" applyAlignment="1">
      <alignment horizontal="center"/>
    </xf>
    <xf numFmtId="0" fontId="29" fillId="0" borderId="0" xfId="1" applyFont="1" applyAlignment="1">
      <alignment horizontal="center"/>
    </xf>
    <xf numFmtId="0" fontId="30" fillId="0" borderId="0" xfId="0" applyFont="1" applyAlignment="1">
      <alignment horizontal="center"/>
    </xf>
    <xf numFmtId="0" fontId="19" fillId="6" borderId="11" xfId="1" applyFont="1" applyFill="1" applyBorder="1" applyAlignment="1">
      <alignment horizontal="center" vertical="center"/>
    </xf>
    <xf numFmtId="0" fontId="19" fillId="6" borderId="14" xfId="1" applyFont="1" applyFill="1" applyBorder="1" applyAlignment="1">
      <alignment horizontal="center" vertical="center"/>
    </xf>
    <xf numFmtId="0" fontId="19" fillId="6" borderId="6" xfId="1" applyFont="1" applyFill="1" applyBorder="1" applyAlignment="1">
      <alignment horizontal="center" vertical="center"/>
    </xf>
    <xf numFmtId="0" fontId="22" fillId="0" borderId="0" xfId="1" applyFont="1" applyBorder="1" applyAlignment="1">
      <alignment horizontal="center"/>
    </xf>
    <xf numFmtId="49" fontId="15" fillId="2" borderId="0" xfId="1" applyNumberFormat="1" applyFont="1" applyFill="1" applyBorder="1" applyAlignment="1">
      <alignment horizontal="center"/>
    </xf>
    <xf numFmtId="164" fontId="9" fillId="0" borderId="14" xfId="1" applyNumberFormat="1" applyFont="1" applyFill="1" applyBorder="1" applyAlignment="1">
      <alignment horizontal="center"/>
    </xf>
    <xf numFmtId="0" fontId="0" fillId="0" borderId="14" xfId="0" applyBorder="1" applyAlignment="1"/>
    <xf numFmtId="0" fontId="22" fillId="0" borderId="14" xfId="1" applyFont="1" applyBorder="1" applyAlignment="1">
      <alignment horizontal="center"/>
    </xf>
    <xf numFmtId="0" fontId="17" fillId="4" borderId="15" xfId="1" applyFont="1" applyFill="1" applyBorder="1" applyAlignment="1">
      <alignment horizontal="center"/>
    </xf>
    <xf numFmtId="49" fontId="24" fillId="0" borderId="13" xfId="1" applyNumberFormat="1" applyFont="1" applyFill="1" applyBorder="1" applyAlignment="1">
      <alignment horizontal="center"/>
    </xf>
    <xf numFmtId="49" fontId="24" fillId="0" borderId="12" xfId="1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5" borderId="9" xfId="1" applyFont="1" applyFill="1" applyBorder="1" applyAlignment="1">
      <alignment horizontal="left" vertical="center"/>
    </xf>
    <xf numFmtId="0" fontId="3" fillId="5" borderId="8" xfId="1" applyFont="1" applyFill="1" applyBorder="1" applyAlignment="1">
      <alignment horizontal="left" vertical="center"/>
    </xf>
    <xf numFmtId="0" fontId="3" fillId="5" borderId="8" xfId="1" applyFont="1" applyFill="1" applyBorder="1" applyAlignment="1">
      <alignment horizontal="center" vertical="center"/>
    </xf>
    <xf numFmtId="0" fontId="17" fillId="4" borderId="14" xfId="1" applyFont="1" applyFill="1" applyBorder="1" applyAlignment="1">
      <alignment horizontal="center"/>
    </xf>
    <xf numFmtId="0" fontId="17" fillId="4" borderId="0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49" fontId="15" fillId="2" borderId="4" xfId="1" applyNumberFormat="1" applyFont="1" applyFill="1" applyBorder="1" applyAlignment="1">
      <alignment horizontal="center"/>
    </xf>
    <xf numFmtId="0" fontId="28" fillId="2" borderId="11" xfId="1" applyFont="1" applyFill="1" applyBorder="1" applyAlignment="1">
      <alignment horizontal="center"/>
    </xf>
    <xf numFmtId="0" fontId="28" fillId="2" borderId="6" xfId="1" applyFont="1" applyFill="1" applyBorder="1" applyAlignment="1">
      <alignment horizontal="center"/>
    </xf>
    <xf numFmtId="0" fontId="21" fillId="0" borderId="0" xfId="1" applyFont="1" applyFill="1" applyBorder="1" applyAlignment="1">
      <alignment vertical="center"/>
    </xf>
    <xf numFmtId="49" fontId="15" fillId="0" borderId="0" xfId="1" applyNumberFormat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</cellXfs>
  <cellStyles count="3">
    <cellStyle name="Excel Built-in Normal" xfId="1"/>
    <cellStyle name="Hi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9966CC"/>
      <rgbColor rgb="008FB08C"/>
      <rgbColor rgb="00003366"/>
      <rgbColor rgb="00339966"/>
      <rgbColor rgb="00003300"/>
      <rgbColor rgb="00333300"/>
      <rgbColor rgb="00993300"/>
      <rgbColor rgb="00993366"/>
      <rgbColor rgb="00333399"/>
      <rgbColor rgb="00262626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219075</xdr:colOff>
      <xdr:row>3</xdr:row>
      <xdr:rowOff>95250</xdr:rowOff>
    </xdr:from>
    <xdr:to>
      <xdr:col>25</xdr:col>
      <xdr:colOff>1085850</xdr:colOff>
      <xdr:row>55</xdr:row>
      <xdr:rowOff>104775</xdr:rowOff>
    </xdr:to>
    <xdr:grpSp>
      <xdr:nvGrpSpPr>
        <xdr:cNvPr id="7705" name="Grupo 19"/>
        <xdr:cNvGrpSpPr>
          <a:grpSpLocks/>
        </xdr:cNvGrpSpPr>
      </xdr:nvGrpSpPr>
      <xdr:grpSpPr bwMode="auto">
        <a:xfrm>
          <a:off x="11144250" y="1104900"/>
          <a:ext cx="1362075" cy="10896600"/>
          <a:chOff x="6667500" y="409575"/>
          <a:chExt cx="1590675" cy="10745025"/>
        </a:xfrm>
      </xdr:grpSpPr>
      <xdr:pic>
        <xdr:nvPicPr>
          <xdr:cNvPr id="7706" name="Imagem 2" descr="FCX-FederacaoCatarinenseDeXadrez.jp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667500" y="409575"/>
            <a:ext cx="1590675" cy="18383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707" name="Imagem 3" descr="FCX-FederacaoCatarinenseDeXadrez.jp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667500" y="2667000"/>
            <a:ext cx="1590675" cy="18383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708" name="Imagem 4" descr="FCX-FederacaoCatarinenseDeXadrez.jp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667500" y="4933950"/>
            <a:ext cx="1590675" cy="18383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709" name="Imagem 5" descr="FCX-FederacaoCatarinenseDeXadrez.jp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667500" y="7219950"/>
            <a:ext cx="1590675" cy="18383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710" name="Imagem 6" descr="FCX-FederacaoCatarinenseDeXadrez.jp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667500" y="9316275"/>
            <a:ext cx="1590675" cy="18383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bx.org.br/files/downloads/calendof2017.xls" TargetMode="External"/><Relationship Id="rId1" Type="http://schemas.openxmlformats.org/officeDocument/2006/relationships/hyperlink" Target="http://www.fide.com/calendar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90"/>
  <sheetViews>
    <sheetView showGridLines="0" tabSelected="1" zoomScaleNormal="100" workbookViewId="0">
      <selection activeCell="Y2" sqref="Y2"/>
    </sheetView>
  </sheetViews>
  <sheetFormatPr defaultColWidth="7.5703125" defaultRowHeight="15.75" x14ac:dyDescent="0.25"/>
  <cols>
    <col min="1" max="1" width="2" style="1" customWidth="1"/>
    <col min="2" max="8" width="3.7109375" style="1" customWidth="1"/>
    <col min="9" max="9" width="1.5703125" style="1" customWidth="1"/>
    <col min="10" max="16" width="3.7109375" style="1" customWidth="1"/>
    <col min="17" max="17" width="1.7109375" style="1" customWidth="1"/>
    <col min="18" max="18" width="1" style="1" customWidth="1"/>
    <col min="19" max="19" width="14.28515625" style="43" customWidth="1"/>
    <col min="20" max="20" width="23.28515625" style="1" customWidth="1"/>
    <col min="21" max="21" width="21.42578125" style="1" customWidth="1"/>
    <col min="22" max="22" width="22.28515625" style="1" customWidth="1"/>
    <col min="23" max="23" width="23.28515625" style="1" bestFit="1" customWidth="1"/>
    <col min="24" max="24" width="1" style="1" customWidth="1"/>
    <col min="25" max="25" width="7.42578125" style="1" customWidth="1"/>
    <col min="26" max="26" width="19.7109375" style="1" customWidth="1"/>
    <col min="27" max="46" width="7.42578125" style="1" customWidth="1"/>
    <col min="47" max="16384" width="7.5703125" style="1"/>
  </cols>
  <sheetData>
    <row r="1" spans="2:45" ht="33" customHeight="1" thickBot="1" x14ac:dyDescent="0.3">
      <c r="B1" s="97" t="s">
        <v>15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9"/>
    </row>
    <row r="2" spans="2:45" ht="30" customHeight="1" thickBot="1" x14ac:dyDescent="0.3">
      <c r="B2" s="109">
        <v>2017</v>
      </c>
      <c r="C2" s="110"/>
      <c r="D2" s="110"/>
      <c r="E2" s="110"/>
      <c r="F2" s="45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  <c r="S2" s="48"/>
      <c r="T2" s="111"/>
      <c r="U2" s="111"/>
      <c r="V2" s="111" t="s">
        <v>134</v>
      </c>
      <c r="W2" s="111"/>
      <c r="X2" s="47"/>
      <c r="Y2" s="47"/>
      <c r="Z2" s="49"/>
    </row>
    <row r="3" spans="2:45" ht="17.100000000000001" customHeight="1" x14ac:dyDescent="0.25">
      <c r="B3" s="86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  <c r="R3" s="67"/>
      <c r="S3" s="68" t="s">
        <v>9</v>
      </c>
      <c r="T3" s="112" t="s">
        <v>12</v>
      </c>
      <c r="U3" s="112"/>
      <c r="V3" s="68" t="s">
        <v>19</v>
      </c>
      <c r="W3" s="69" t="s">
        <v>13</v>
      </c>
      <c r="X3" s="67"/>
      <c r="Y3" s="70"/>
      <c r="Z3" s="71"/>
    </row>
    <row r="4" spans="2:45" ht="17.100000000000001" customHeight="1" x14ac:dyDescent="0.25">
      <c r="B4" s="114" t="s">
        <v>75</v>
      </c>
      <c r="C4" s="115"/>
      <c r="D4" s="115"/>
      <c r="E4" s="4"/>
      <c r="F4" s="4"/>
      <c r="G4" s="4"/>
      <c r="H4" s="4"/>
      <c r="I4" s="4"/>
      <c r="J4" s="115" t="s">
        <v>76</v>
      </c>
      <c r="K4" s="115"/>
      <c r="L4" s="115"/>
      <c r="M4" s="4"/>
      <c r="N4" s="4"/>
      <c r="O4" s="4"/>
      <c r="P4" s="4"/>
      <c r="Q4" s="3"/>
      <c r="R4" s="51"/>
      <c r="S4" s="61"/>
      <c r="T4" s="113" t="s">
        <v>28</v>
      </c>
      <c r="U4" s="113"/>
      <c r="V4" s="50"/>
      <c r="W4" s="50"/>
      <c r="X4" s="51"/>
      <c r="Y4" s="5"/>
      <c r="Z4" s="24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2:45" ht="17.100000000000001" customHeight="1" x14ac:dyDescent="0.25">
      <c r="B5" s="87" t="s">
        <v>77</v>
      </c>
      <c r="C5" s="6" t="s">
        <v>78</v>
      </c>
      <c r="D5" s="6" t="s">
        <v>79</v>
      </c>
      <c r="E5" s="6" t="s">
        <v>79</v>
      </c>
      <c r="F5" s="6" t="s">
        <v>77</v>
      </c>
      <c r="G5" s="6" t="s">
        <v>77</v>
      </c>
      <c r="H5" s="6" t="s">
        <v>80</v>
      </c>
      <c r="I5" s="6"/>
      <c r="J5" s="6" t="s">
        <v>77</v>
      </c>
      <c r="K5" s="6" t="s">
        <v>78</v>
      </c>
      <c r="L5" s="6" t="s">
        <v>79</v>
      </c>
      <c r="M5" s="6" t="s">
        <v>79</v>
      </c>
      <c r="N5" s="6" t="s">
        <v>77</v>
      </c>
      <c r="O5" s="6" t="s">
        <v>77</v>
      </c>
      <c r="P5" s="6" t="s">
        <v>80</v>
      </c>
      <c r="Q5" s="3"/>
      <c r="R5" s="51"/>
      <c r="S5" s="44" t="s">
        <v>16</v>
      </c>
      <c r="T5" s="106" t="s">
        <v>17</v>
      </c>
      <c r="U5" s="107"/>
      <c r="V5" s="42" t="s">
        <v>20</v>
      </c>
      <c r="W5" s="57" t="s">
        <v>18</v>
      </c>
      <c r="X5" s="51"/>
      <c r="Y5" s="22"/>
      <c r="Z5" s="23"/>
      <c r="AC5" s="3"/>
      <c r="AK5" s="3"/>
      <c r="AS5" s="3"/>
    </row>
    <row r="6" spans="2:45" ht="17.100000000000001" customHeight="1" x14ac:dyDescent="0.25">
      <c r="B6" s="88" t="str">
        <f>IF(DAY(JanDom1)=1,"",IF(AND(YEAR(JanDom1+1)=CalendárioAno,MONTH(JanDom1+1)=1),JanDom1+1,""))</f>
        <v/>
      </c>
      <c r="C6" s="7" t="str">
        <f>IF(DAY(JanDom1)=1,"",IF(AND(YEAR(JanDom1+2)=CalendárioAno,MONTH(JanDom1+2)=1),JanDom1+2,""))</f>
        <v/>
      </c>
      <c r="D6" s="7" t="str">
        <f>IF(DAY(JanDom1)=1,"",IF(AND(YEAR(JanDom1+3)=CalendárioAno,MONTH(JanDom1+3)=1),JanDom1+3,""))</f>
        <v/>
      </c>
      <c r="E6" s="7" t="str">
        <f>IF(DAY(JanDom1)=1,"",IF(AND(YEAR(JanDom1+4)=CalendárioAno,MONTH(JanDom1+4)=1),JanDom1+4,""))</f>
        <v/>
      </c>
      <c r="F6" s="7" t="str">
        <f>IF(DAY(JanDom1)=1,"",IF(AND(YEAR(JanDom1+5)=CalendárioAno,MONTH(JanDom1+5)=1),JanDom1+5,""))</f>
        <v/>
      </c>
      <c r="G6" s="36" t="str">
        <f>IF(DAY(JanDom1)=1,"",IF(AND(YEAR(JanDom1+6)=CalendárioAno,MONTH(JanDom1+6)=1),JanDom1+6,""))</f>
        <v/>
      </c>
      <c r="H6" s="36">
        <f>IF(DAY(JanDom1)=1,IF(AND(YEAR(JanDom1)=CalendárioAno,MONTH(JanDom1)=1),JanDom1,""),IF(AND(YEAR(JanDom1+7)=CalendárioAno,MONTH(JanDom1+7)=1),JanDom1+7,""))</f>
        <v>42736</v>
      </c>
      <c r="I6" s="7"/>
      <c r="J6" s="7" t="str">
        <f>IF(DAY(FevDom1)=1,"",IF(AND(YEAR(FevDom1+1)=CalendárioAno,MONTH(FevDom1+1)=2),FevDom1+1,""))</f>
        <v/>
      </c>
      <c r="K6" s="7" t="str">
        <f>IF(DAY(FevDom1)=1,"",IF(AND(YEAR(FevDom1+2)=CalendárioAno,MONTH(FevDom1+2)=2),FevDom1+2,""))</f>
        <v/>
      </c>
      <c r="L6" s="7">
        <f>IF(DAY(FevDom1)=1,"",IF(AND(YEAR(FevDom1+3)=CalendárioAno,MONTH(FevDom1+3)=2),FevDom1+3,""))</f>
        <v>42767</v>
      </c>
      <c r="M6" s="7">
        <f>IF(DAY(FevDom1)=1,"",IF(AND(YEAR(FevDom1+4)=CalendárioAno,MONTH(FevDom1+4)=2),FevDom1+4,""))</f>
        <v>42768</v>
      </c>
      <c r="N6" s="7">
        <f>IF(DAY(FevDom1)=1,"",IF(AND(YEAR(FevDom1+5)=CalendárioAno,MONTH(FevDom1+5)=2),FevDom1+5,""))</f>
        <v>42769</v>
      </c>
      <c r="O6" s="36">
        <f>IF(DAY(FevDom1)=1,"",IF(AND(YEAR(FevDom1+6)=CalendárioAno,MONTH(FevDom1+6)=2),FevDom1+6,""))</f>
        <v>42770</v>
      </c>
      <c r="P6" s="36">
        <f>IF(DAY(FevDom1)=1,IF(AND(YEAR(FevDom1)=CalendárioAno,MONTH(FevDom1)=2),FevDom1,""),IF(AND(YEAR(FevDom1+7)=CalendárioAno,MONTH(FevDom1+7)=2),FevDom1+7,""))</f>
        <v>42771</v>
      </c>
      <c r="Q6" s="3"/>
      <c r="R6" s="51"/>
      <c r="S6" s="44">
        <v>28</v>
      </c>
      <c r="T6" s="106" t="s">
        <v>21</v>
      </c>
      <c r="U6" s="107"/>
      <c r="V6" s="42" t="s">
        <v>20</v>
      </c>
      <c r="W6" s="57" t="s">
        <v>14</v>
      </c>
      <c r="X6" s="51"/>
      <c r="Y6" s="22"/>
      <c r="Z6" s="23"/>
      <c r="AC6" s="3"/>
      <c r="AK6" s="3"/>
      <c r="AS6" s="3"/>
    </row>
    <row r="7" spans="2:45" ht="17.100000000000001" customHeight="1" x14ac:dyDescent="0.25">
      <c r="B7" s="88">
        <f>IF(DAY(JanDom1)=1,IF(AND(YEAR(JanDom1+1)=CalendárioAno,MONTH(JanDom1+1)=1),JanDom1+1,""),IF(AND(YEAR(JanDom1+8)=CalendárioAno,MONTH(JanDom1+8)=1),JanDom1+8,""))</f>
        <v>42737</v>
      </c>
      <c r="C7" s="7">
        <f>IF(DAY(JanDom1)=1,IF(AND(YEAR(JanDom1+2)=CalendárioAno,MONTH(JanDom1+2)=1),JanDom1+2,""),IF(AND(YEAR(JanDom1+9)=CalendárioAno,MONTH(JanDom1+9)=1),JanDom1+9,""))</f>
        <v>42738</v>
      </c>
      <c r="D7" s="7">
        <f>IF(DAY(JanDom1)=1,IF(AND(YEAR(JanDom1+3)=CalendárioAno,MONTH(JanDom1+3)=1),JanDom1+3,""),IF(AND(YEAR(JanDom1+10)=CalendárioAno,MONTH(JanDom1+10)=1),JanDom1+10,""))</f>
        <v>42739</v>
      </c>
      <c r="E7" s="7">
        <f>IF(DAY(JanDom1)=1,IF(AND(YEAR(JanDom1+4)=CalendárioAno,MONTH(JanDom1+4)=1),JanDom1+4,""),IF(AND(YEAR(JanDom1+11)=CalendárioAno,MONTH(JanDom1+11)=1),JanDom1+11,""))</f>
        <v>42740</v>
      </c>
      <c r="F7" s="7">
        <f>IF(DAY(JanDom1)=1,IF(AND(YEAR(JanDom1+5)=CalendárioAno,MONTH(JanDom1+5)=1),JanDom1+5,""),IF(AND(YEAR(JanDom1+12)=CalendárioAno,MONTH(JanDom1+12)=1),JanDom1+12,""))</f>
        <v>42741</v>
      </c>
      <c r="G7" s="36">
        <f>IF(DAY(JanDom1)=1,IF(AND(YEAR(JanDom1+6)=CalendárioAno,MONTH(JanDom1+6)=1),JanDom1+6,""),IF(AND(YEAR(JanDom1+13)=CalendárioAno,MONTH(JanDom1+13)=1),JanDom1+13,""))</f>
        <v>42742</v>
      </c>
      <c r="H7" s="36">
        <f>IF(DAY(JanDom1)=1,IF(AND(YEAR(JanDom1+7)=CalendárioAno,MONTH(JanDom1+7)=1),JanDom1+7,""),IF(AND(YEAR(JanDom1+14)=CalendárioAno,MONTH(JanDom1+14)=1),JanDom1+14,""))</f>
        <v>42743</v>
      </c>
      <c r="I7" s="7"/>
      <c r="J7" s="7">
        <f>IF(DAY(FevDom1)=1,IF(AND(YEAR(FevDom1+1)=CalendárioAno,MONTH(FevDom1+1)=2),FevDom1+1,""),IF(AND(YEAR(FevDom1+8)=CalendárioAno,MONTH(FevDom1+8)=2),FevDom1+8,""))</f>
        <v>42772</v>
      </c>
      <c r="K7" s="7">
        <f>IF(DAY(FevDom1)=1,IF(AND(YEAR(FevDom1+2)=CalendárioAno,MONTH(FevDom1+2)=2),FevDom1+2,""),IF(AND(YEAR(FevDom1+9)=CalendárioAno,MONTH(FevDom1+9)=2),FevDom1+9,""))</f>
        <v>42773</v>
      </c>
      <c r="L7" s="7">
        <f>IF(DAY(FevDom1)=1,IF(AND(YEAR(FevDom1+3)=CalendárioAno,MONTH(FevDom1+3)=2),FevDom1+3,""),IF(AND(YEAR(FevDom1+10)=CalendárioAno,MONTH(FevDom1+10)=2),FevDom1+10,""))</f>
        <v>42774</v>
      </c>
      <c r="M7" s="7">
        <f>IF(DAY(FevDom1)=1,IF(AND(YEAR(FevDom1+4)=CalendárioAno,MONTH(FevDom1+4)=2),FevDom1+4,""),IF(AND(YEAR(FevDom1+11)=CalendárioAno,MONTH(FevDom1+11)=2),FevDom1+11,""))</f>
        <v>42775</v>
      </c>
      <c r="N7" s="7">
        <f>IF(DAY(FevDom1)=1,IF(AND(YEAR(FevDom1+5)=CalendárioAno,MONTH(FevDom1+5)=2),FevDom1+5,""),IF(AND(YEAR(FevDom1+12)=CalendárioAno,MONTH(FevDom1+12)=2),FevDom1+12,""))</f>
        <v>42776</v>
      </c>
      <c r="O7" s="36">
        <f>IF(DAY(FevDom1)=1,IF(AND(YEAR(FevDom1+6)=CalendárioAno,MONTH(FevDom1+6)=2),FevDom1+6,""),IF(AND(YEAR(FevDom1+13)=CalendárioAno,MONTH(FevDom1+13)=2),FevDom1+13,""))</f>
        <v>42777</v>
      </c>
      <c r="P7" s="36">
        <f>IF(DAY(FevDom1)=1,IF(AND(YEAR(FevDom1+7)=CalendárioAno,MONTH(FevDom1+7)=2),FevDom1+7,""),IF(AND(YEAR(FevDom1+14)=CalendárioAno,MONTH(FevDom1+14)=2),FevDom1+14,""))</f>
        <v>42778</v>
      </c>
      <c r="Q7" s="3"/>
      <c r="R7" s="51"/>
      <c r="S7" s="44" t="s">
        <v>22</v>
      </c>
      <c r="T7" s="106" t="s">
        <v>23</v>
      </c>
      <c r="U7" s="107"/>
      <c r="V7" s="42" t="s">
        <v>20</v>
      </c>
      <c r="W7" s="57" t="s">
        <v>24</v>
      </c>
      <c r="X7" s="51"/>
      <c r="Y7" s="22"/>
      <c r="Z7" s="23"/>
      <c r="AC7" s="3"/>
      <c r="AK7" s="3"/>
      <c r="AS7" s="3"/>
    </row>
    <row r="8" spans="2:45" ht="17.100000000000001" customHeight="1" x14ac:dyDescent="0.25">
      <c r="B8" s="88">
        <f>IF(DAY(JanDom1)=1,IF(AND(YEAR(JanDom1+8)=CalendárioAno,MONTH(JanDom1+8)=1),JanDom1+8,""),IF(AND(YEAR(JanDom1+15)=CalendárioAno,MONTH(JanDom1+15)=1),JanDom1+15,""))</f>
        <v>42744</v>
      </c>
      <c r="C8" s="7">
        <f>IF(DAY(JanDom1)=1,IF(AND(YEAR(JanDom1+9)=CalendárioAno,MONTH(JanDom1+9)=1),JanDom1+9,""),IF(AND(YEAR(JanDom1+16)=CalendárioAno,MONTH(JanDom1+16)=1),JanDom1+16,""))</f>
        <v>42745</v>
      </c>
      <c r="D8" s="7">
        <f>IF(DAY(JanDom1)=1,IF(AND(YEAR(JanDom1+10)=CalendárioAno,MONTH(JanDom1+10)=1),JanDom1+10,""),IF(AND(YEAR(JanDom1+17)=CalendárioAno,MONTH(JanDom1+17)=1),JanDom1+17,""))</f>
        <v>42746</v>
      </c>
      <c r="E8" s="7">
        <f>IF(DAY(JanDom1)=1,IF(AND(YEAR(JanDom1+11)=CalendárioAno,MONTH(JanDom1+11)=1),JanDom1+11,""),IF(AND(YEAR(JanDom1+18)=CalendárioAno,MONTH(JanDom1+18)=1),JanDom1+18,""))</f>
        <v>42747</v>
      </c>
      <c r="F8" s="7">
        <f>IF(DAY(JanDom1)=1,IF(AND(YEAR(JanDom1+12)=CalendárioAno,MONTH(JanDom1+12)=1),JanDom1+12,""),IF(AND(YEAR(JanDom1+19)=CalendárioAno,MONTH(JanDom1+19)=1),JanDom1+19,""))</f>
        <v>42748</v>
      </c>
      <c r="G8" s="36">
        <f>IF(DAY(JanDom1)=1,IF(AND(YEAR(JanDom1+13)=CalendárioAno,MONTH(JanDom1+13)=1),JanDom1+13,""),IF(AND(YEAR(JanDom1+20)=CalendárioAno,MONTH(JanDom1+20)=1),JanDom1+20,""))</f>
        <v>42749</v>
      </c>
      <c r="H8" s="36">
        <f>IF(DAY(JanDom1)=1,IF(AND(YEAR(JanDom1+14)=CalendárioAno,MONTH(JanDom1+14)=1),JanDom1+14,""),IF(AND(YEAR(JanDom1+21)=CalendárioAno,MONTH(JanDom1+21)=1),JanDom1+21,""))</f>
        <v>42750</v>
      </c>
      <c r="I8" s="7"/>
      <c r="J8" s="7">
        <f>IF(DAY(FevDom1)=1,IF(AND(YEAR(FevDom1+8)=CalendárioAno,MONTH(FevDom1+8)=2),FevDom1+8,""),IF(AND(YEAR(FevDom1+15)=CalendárioAno,MONTH(FevDom1+15)=2),FevDom1+15,""))</f>
        <v>42779</v>
      </c>
      <c r="K8" s="7">
        <f>IF(DAY(FevDom1)=1,IF(AND(YEAR(FevDom1+9)=CalendárioAno,MONTH(FevDom1+9)=2),FevDom1+9,""),IF(AND(YEAR(FevDom1+16)=CalendárioAno,MONTH(FevDom1+16)=2),FevDom1+16,""))</f>
        <v>42780</v>
      </c>
      <c r="L8" s="7">
        <f>IF(DAY(FevDom1)=1,IF(AND(YEAR(FevDom1+10)=CalendárioAno,MONTH(FevDom1+10)=2),FevDom1+10,""),IF(AND(YEAR(FevDom1+17)=CalendárioAno,MONTH(FevDom1+17)=2),FevDom1+17,""))</f>
        <v>42781</v>
      </c>
      <c r="M8" s="7">
        <f>IF(DAY(FevDom1)=1,IF(AND(YEAR(FevDom1+11)=CalendárioAno,MONTH(FevDom1+11)=2),FevDom1+11,""),IF(AND(YEAR(FevDom1+18)=CalendárioAno,MONTH(FevDom1+18)=2),FevDom1+18,""))</f>
        <v>42782</v>
      </c>
      <c r="N8" s="7">
        <f>IF(DAY(FevDom1)=1,IF(AND(YEAR(FevDom1+12)=CalendárioAno,MONTH(FevDom1+12)=2),FevDom1+12,""),IF(AND(YEAR(FevDom1+19)=CalendárioAno,MONTH(FevDom1+19)=2),FevDom1+19,""))</f>
        <v>42783</v>
      </c>
      <c r="O8" s="36">
        <f>IF(DAY(FevDom1)=1,IF(AND(YEAR(FevDom1+13)=CalendárioAno,MONTH(FevDom1+13)=2),FevDom1+13,""),IF(AND(YEAR(FevDom1+20)=CalendárioAno,MONTH(FevDom1+20)=2),FevDom1+20,""))</f>
        <v>42784</v>
      </c>
      <c r="P8" s="36">
        <f>IF(DAY(FevDom1)=1,IF(AND(YEAR(FevDom1+14)=CalendárioAno,MONTH(FevDom1+14)=2),FevDom1+14,""),IF(AND(YEAR(FevDom1+21)=CalendárioAno,MONTH(FevDom1+21)=2),FevDom1+21,""))</f>
        <v>42785</v>
      </c>
      <c r="Q8" s="8"/>
      <c r="R8" s="51"/>
      <c r="S8" s="44" t="s">
        <v>22</v>
      </c>
      <c r="T8" s="106" t="s">
        <v>25</v>
      </c>
      <c r="U8" s="107"/>
      <c r="V8" s="42" t="s">
        <v>20</v>
      </c>
      <c r="W8" s="57" t="s">
        <v>26</v>
      </c>
      <c r="X8" s="51"/>
      <c r="Y8" s="22"/>
      <c r="Z8" s="23"/>
      <c r="AC8" s="3"/>
      <c r="AK8" s="3"/>
      <c r="AS8" s="3"/>
    </row>
    <row r="9" spans="2:45" ht="17.100000000000001" customHeight="1" x14ac:dyDescent="0.25">
      <c r="B9" s="88">
        <f>IF(DAY(JanDom1)=1,IF(AND(YEAR(JanDom1+15)=CalendárioAno,MONTH(JanDom1+15)=1),JanDom1+15,""),IF(AND(YEAR(JanDom1+22)=CalendárioAno,MONTH(JanDom1+22)=1),JanDom1+22,""))</f>
        <v>42751</v>
      </c>
      <c r="C9" s="7">
        <f>IF(DAY(JanDom1)=1,IF(AND(YEAR(JanDom1+16)=CalendárioAno,MONTH(JanDom1+16)=1),JanDom1+16,""),IF(AND(YEAR(JanDom1+23)=CalendárioAno,MONTH(JanDom1+23)=1),JanDom1+23,""))</f>
        <v>42752</v>
      </c>
      <c r="D9" s="7">
        <f>IF(DAY(JanDom1)=1,IF(AND(YEAR(JanDom1+17)=CalendárioAno,MONTH(JanDom1+17)=1),JanDom1+17,""),IF(AND(YEAR(JanDom1+24)=CalendárioAno,MONTH(JanDom1+24)=1),JanDom1+24,""))</f>
        <v>42753</v>
      </c>
      <c r="E9" s="7">
        <f>IF(DAY(JanDom1)=1,IF(AND(YEAR(JanDom1+18)=CalendárioAno,MONTH(JanDom1+18)=1),JanDom1+18,""),IF(AND(YEAR(JanDom1+25)=CalendárioAno,MONTH(JanDom1+25)=1),JanDom1+25,""))</f>
        <v>42754</v>
      </c>
      <c r="F9" s="7">
        <f>IF(DAY(JanDom1)=1,IF(AND(YEAR(JanDom1+19)=CalendárioAno,MONTH(JanDom1+19)=1),JanDom1+19,""),IF(AND(YEAR(JanDom1+26)=CalendárioAno,MONTH(JanDom1+26)=1),JanDom1+26,""))</f>
        <v>42755</v>
      </c>
      <c r="G9" s="36">
        <f>IF(DAY(JanDom1)=1,IF(AND(YEAR(JanDom1+20)=CalendárioAno,MONTH(JanDom1+20)=1),JanDom1+20,""),IF(AND(YEAR(JanDom1+27)=CalendárioAno,MONTH(JanDom1+27)=1),JanDom1+27,""))</f>
        <v>42756</v>
      </c>
      <c r="H9" s="36">
        <f>IF(DAY(JanDom1)=1,IF(AND(YEAR(JanDom1+21)=CalendárioAno,MONTH(JanDom1+21)=1),JanDom1+21,""),IF(AND(YEAR(JanDom1+28)=CalendárioAno,MONTH(JanDom1+28)=1),JanDom1+28,""))</f>
        <v>42757</v>
      </c>
      <c r="I9" s="7"/>
      <c r="J9" s="7">
        <f>IF(DAY(FevDom1)=1,IF(AND(YEAR(FevDom1+15)=CalendárioAno,MONTH(FevDom1+15)=2),FevDom1+15,""),IF(AND(YEAR(FevDom1+22)=CalendárioAno,MONTH(FevDom1+22)=2),FevDom1+22,""))</f>
        <v>42786</v>
      </c>
      <c r="K9" s="7">
        <f>IF(DAY(FevDom1)=1,IF(AND(YEAR(FevDom1+16)=CalendárioAno,MONTH(FevDom1+16)=2),FevDom1+16,""),IF(AND(YEAR(FevDom1+23)=CalendárioAno,MONTH(FevDom1+23)=2),FevDom1+23,""))</f>
        <v>42787</v>
      </c>
      <c r="L9" s="7">
        <f>IF(DAY(FevDom1)=1,IF(AND(YEAR(FevDom1+17)=CalendárioAno,MONTH(FevDom1+17)=2),FevDom1+17,""),IF(AND(YEAR(FevDom1+24)=CalendárioAno,MONTH(FevDom1+24)=2),FevDom1+24,""))</f>
        <v>42788</v>
      </c>
      <c r="M9" s="7">
        <f>IF(DAY(FevDom1)=1,IF(AND(YEAR(FevDom1+18)=CalendárioAno,MONTH(FevDom1+18)=2),FevDom1+18,""),IF(AND(YEAR(FevDom1+25)=CalendárioAno,MONTH(FevDom1+25)=2),FevDom1+25,""))</f>
        <v>42789</v>
      </c>
      <c r="N9" s="7">
        <f>IF(DAY(FevDom1)=1,IF(AND(YEAR(FevDom1+19)=CalendárioAno,MONTH(FevDom1+19)=2),FevDom1+19,""),IF(AND(YEAR(FevDom1+26)=CalendárioAno,MONTH(FevDom1+26)=2),FevDom1+26,""))</f>
        <v>42790</v>
      </c>
      <c r="O9" s="36">
        <f>IF(DAY(FevDom1)=1,IF(AND(YEAR(FevDom1+20)=CalendárioAno,MONTH(FevDom1+20)=2),FevDom1+20,""),IF(AND(YEAR(FevDom1+27)=CalendárioAno,MONTH(FevDom1+27)=2),FevDom1+27,""))</f>
        <v>42791</v>
      </c>
      <c r="P9" s="36">
        <f>IF(DAY(FevDom1)=1,IF(AND(YEAR(FevDom1+21)=CalendárioAno,MONTH(FevDom1+21)=2),FevDom1+21,""),IF(AND(YEAR(FevDom1+28)=CalendárioAno,MONTH(FevDom1+28)=2),FevDom1+28,""))</f>
        <v>42792</v>
      </c>
      <c r="Q9" s="3"/>
      <c r="R9" s="51"/>
      <c r="S9" s="61"/>
      <c r="T9" s="105" t="s">
        <v>27</v>
      </c>
      <c r="U9" s="105"/>
      <c r="V9" s="54"/>
      <c r="W9" s="54"/>
      <c r="X9" s="51"/>
      <c r="Y9" s="22"/>
      <c r="Z9" s="23"/>
      <c r="AC9" s="3"/>
      <c r="AK9" s="3"/>
      <c r="AS9" s="3"/>
    </row>
    <row r="10" spans="2:45" ht="17.100000000000001" customHeight="1" x14ac:dyDescent="0.25">
      <c r="B10" s="88">
        <f>IF(DAY(JanDom1)=1,IF(AND(YEAR(JanDom1+22)=CalendárioAno,MONTH(JanDom1+22)=1),JanDom1+22,""),IF(AND(YEAR(JanDom1+29)=CalendárioAno,MONTH(JanDom1+29)=1),JanDom1+29,""))</f>
        <v>42758</v>
      </c>
      <c r="C10" s="7">
        <f>IF(DAY(JanDom1)=1,IF(AND(YEAR(JanDom1+23)=CalendárioAno,MONTH(JanDom1+23)=1),JanDom1+23,""),IF(AND(YEAR(JanDom1+30)=CalendárioAno,MONTH(JanDom1+30)=1),JanDom1+30,""))</f>
        <v>42759</v>
      </c>
      <c r="D10" s="7">
        <f>IF(DAY(JanDom1)=1,IF(AND(YEAR(JanDom1+24)=CalendárioAno,MONTH(JanDom1+24)=1),JanDom1+24,""),IF(AND(YEAR(JanDom1+31)=CalendárioAno,MONTH(JanDom1+31)=1),JanDom1+31,""))</f>
        <v>42760</v>
      </c>
      <c r="E10" s="7">
        <f>IF(DAY(JanDom1)=1,IF(AND(YEAR(JanDom1+25)=CalendárioAno,MONTH(JanDom1+25)=1),JanDom1+25,""),IF(AND(YEAR(JanDom1+32)=CalendárioAno,MONTH(JanDom1+32)=1),JanDom1+32,""))</f>
        <v>42761</v>
      </c>
      <c r="F10" s="7">
        <f>IF(DAY(JanDom1)=1,IF(AND(YEAR(JanDom1+26)=CalendárioAno,MONTH(JanDom1+26)=1),JanDom1+26,""),IF(AND(YEAR(JanDom1+33)=CalendárioAno,MONTH(JanDom1+33)=1),JanDom1+33,""))</f>
        <v>42762</v>
      </c>
      <c r="G10" s="36">
        <f>IF(DAY(JanDom1)=1,IF(AND(YEAR(JanDom1+27)=CalendárioAno,MONTH(JanDom1+27)=1),JanDom1+27,""),IF(AND(YEAR(JanDom1+34)=CalendárioAno,MONTH(JanDom1+34)=1),JanDom1+34,""))</f>
        <v>42763</v>
      </c>
      <c r="H10" s="36">
        <f>IF(DAY(JanDom1)=1,IF(AND(YEAR(JanDom1+28)=CalendárioAno,MONTH(JanDom1+28)=1),JanDom1+28,""),IF(AND(YEAR(JanDom1+35)=CalendárioAno,MONTH(JanDom1+35)=1),JanDom1+35,""))</f>
        <v>42764</v>
      </c>
      <c r="I10" s="7"/>
      <c r="J10" s="7">
        <f>IF(DAY(FevDom1)=1,IF(AND(YEAR(FevDom1+22)=CalendárioAno,MONTH(FevDom1+22)=2),FevDom1+22,""),IF(AND(YEAR(FevDom1+29)=CalendárioAno,MONTH(FevDom1+29)=2),FevDom1+29,""))</f>
        <v>42793</v>
      </c>
      <c r="K10" s="7">
        <f>IF(DAY(FevDom1)=1,IF(AND(YEAR(FevDom1+23)=CalendárioAno,MONTH(FevDom1+23)=2),FevDom1+23,""),IF(AND(YEAR(FevDom1+30)=CalendárioAno,MONTH(FevDom1+30)=2),FevDom1+30,""))</f>
        <v>42794</v>
      </c>
      <c r="L10" s="7" t="str">
        <f>IF(DAY(FevDom1)=1,IF(AND(YEAR(FevDom1+24)=CalendárioAno,MONTH(FevDom1+24)=2),FevDom1+24,""),IF(AND(YEAR(FevDom1+31)=CalendárioAno,MONTH(FevDom1+31)=2),FevDom1+31,""))</f>
        <v/>
      </c>
      <c r="M10" s="7" t="str">
        <f>IF(DAY(FevDom1)=1,IF(AND(YEAR(FevDom1+25)=CalendárioAno,MONTH(FevDom1+25)=2),FevDom1+25,""),IF(AND(YEAR(FevDom1+32)=CalendárioAno,MONTH(FevDom1+32)=2),FevDom1+32,""))</f>
        <v/>
      </c>
      <c r="N10" s="7" t="str">
        <f>IF(DAY(FevDom1)=1,IF(AND(YEAR(FevDom1+26)=CalendárioAno,MONTH(FevDom1+26)=2),FevDom1+26,""),IF(AND(YEAR(FevDom1+33)=CalendárioAno,MONTH(FevDom1+33)=2),FevDom1+33,""))</f>
        <v/>
      </c>
      <c r="O10" s="7" t="str">
        <f>IF(DAY(FevDom1)=1,IF(AND(YEAR(FevDom1+27)=CalendárioAno,MONTH(FevDom1+27)=2),FevDom1+27,""),IF(AND(YEAR(FevDom1+34)=CalendárioAno,MONTH(FevDom1+34)=2),FevDom1+34,""))</f>
        <v/>
      </c>
      <c r="P10" s="7" t="str">
        <f>IF(DAY(FevDom1)=1,IF(AND(YEAR(FevDom1+28)=CalendárioAno,MONTH(FevDom1+28)=2),FevDom1+28,""),IF(AND(YEAR(FevDom1+35)=CalendárioAno,MONTH(FevDom1+35)=2),FevDom1+35,""))</f>
        <v/>
      </c>
      <c r="Q10" s="3"/>
      <c r="R10" s="51"/>
      <c r="S10" s="44" t="s">
        <v>29</v>
      </c>
      <c r="T10" s="106" t="s">
        <v>31</v>
      </c>
      <c r="U10" s="107"/>
      <c r="V10" s="42" t="s">
        <v>30</v>
      </c>
      <c r="W10" s="57" t="s">
        <v>94</v>
      </c>
      <c r="X10" s="51"/>
      <c r="Y10" s="21"/>
      <c r="Z10" s="26"/>
      <c r="AB10" s="3"/>
      <c r="AJ10" s="3"/>
      <c r="AR10" s="3"/>
    </row>
    <row r="11" spans="2:45" ht="17.100000000000001" customHeight="1" x14ac:dyDescent="0.25">
      <c r="B11" s="88">
        <f>IF(DAY(JanDom1)=1,IF(AND(YEAR(JanDom1+29)=CalendárioAno,MONTH(JanDom1+29)=1),JanDom1+29,""),IF(AND(YEAR(JanDom1+36)=CalendárioAno,MONTH(JanDom1+36)=1),JanDom1+36,""))</f>
        <v>42765</v>
      </c>
      <c r="C11" s="7">
        <f>IF(DAY(JanDom1)=1,IF(AND(YEAR(JanDom1+30)=CalendárioAno,MONTH(JanDom1+30)=1),JanDom1+30,""),IF(AND(YEAR(JanDom1+37)=CalendárioAno,MONTH(JanDom1+37)=1),JanDom1+37,""))</f>
        <v>42766</v>
      </c>
      <c r="D11" s="7" t="str">
        <f>IF(DAY(JanDom1)=1,IF(AND(YEAR(JanDom1+31)=CalendárioAno,MONTH(JanDom1+31)=1),JanDom1+31,""),IF(AND(YEAR(JanDom1+38)=CalendárioAno,MONTH(JanDom1+38)=1),JanDom1+38,""))</f>
        <v/>
      </c>
      <c r="E11" s="7" t="str">
        <f>IF(DAY(JanDom1)=1,IF(AND(YEAR(JanDom1+32)=CalendárioAno,MONTH(JanDom1+32)=1),JanDom1+32,""),IF(AND(YEAR(JanDom1+39)=CalendárioAno,MONTH(JanDom1+39)=1),JanDom1+39,""))</f>
        <v/>
      </c>
      <c r="F11" s="7" t="str">
        <f>IF(DAY(JanDom1)=1,IF(AND(YEAR(JanDom1+33)=CalendárioAno,MONTH(JanDom1+33)=1),JanDom1+33,""),IF(AND(YEAR(JanDom1+40)=CalendárioAno,MONTH(JanDom1+40)=1),JanDom1+40,""))</f>
        <v/>
      </c>
      <c r="G11" s="7" t="str">
        <f>IF(DAY(JanDom1)=1,IF(AND(YEAR(JanDom1+34)=CalendárioAno,MONTH(JanDom1+34)=1),JanDom1+34,""),IF(AND(YEAR(JanDom1+41)=CalendárioAno,MONTH(JanDom1+41)=1),JanDom1+41,""))</f>
        <v/>
      </c>
      <c r="H11" s="7" t="str">
        <f>IF(DAY(JanDom1)=1,IF(AND(YEAR(JanDom1+35)=CalendárioAno,MONTH(JanDom1+35)=1),JanDom1+35,""),IF(AND(YEAR(JanDom1+42)=CalendárioAno,MONTH(JanDom1+42)=1),JanDom1+42,""))</f>
        <v/>
      </c>
      <c r="I11" s="7"/>
      <c r="J11" s="7" t="str">
        <f>IF(DAY(FevDom1)=1,IF(AND(YEAR(FevDom1+29)=CalendárioAno,MONTH(FevDom1+29)=2),FevDom1+29,""),IF(AND(YEAR(FevDom1+36)=CalendárioAno,MONTH(FevDom1+36)=2),FevDom1+36,""))</f>
        <v/>
      </c>
      <c r="K11" s="7" t="str">
        <f>IF(DAY(FevDom1)=1,IF(AND(YEAR(FevDom1+30)=CalendárioAno,MONTH(FevDom1+30)=2),FevDom1+30,""),IF(AND(YEAR(FevDom1+37)=CalendárioAno,MONTH(FevDom1+37)=2),FevDom1+37,""))</f>
        <v/>
      </c>
      <c r="L11" s="7" t="str">
        <f>IF(DAY(FevDom1)=1,IF(AND(YEAR(FevDom1+31)=CalendárioAno,MONTH(FevDom1+31)=2),FevDom1+31,""),IF(AND(YEAR(FevDom1+38)=CalendárioAno,MONTH(FevDom1+38)=2),FevDom1+38,""))</f>
        <v/>
      </c>
      <c r="M11" s="7" t="str">
        <f>IF(DAY(FevDom1)=1,IF(AND(YEAR(FevDom1+32)=CalendárioAno,MONTH(FevDom1+32)=2),FevDom1+32,""),IF(AND(YEAR(FevDom1+39)=CalendárioAno,MONTH(FevDom1+39)=2),FevDom1+39,""))</f>
        <v/>
      </c>
      <c r="N11" s="7" t="str">
        <f>IF(DAY(FevDom1)=1,IF(AND(YEAR(FevDom1+33)=CalendárioAno,MONTH(FevDom1+33)=2),FevDom1+33,""),IF(AND(YEAR(FevDom1+40)=CalendárioAno,MONTH(FevDom1+40)=2),FevDom1+40,""))</f>
        <v/>
      </c>
      <c r="O11" s="7" t="str">
        <f>IF(DAY(FevDom1)=1,IF(AND(YEAR(FevDom1+34)=CalendárioAno,MONTH(FevDom1+34)=2),FevDom1+34,""),IF(AND(YEAR(FevDom1+41)=CalendárioAno,MONTH(FevDom1+41)=2),FevDom1+41,""))</f>
        <v/>
      </c>
      <c r="P11" s="7" t="str">
        <f>IF(DAY(FevDom1)=1,IF(AND(YEAR(FevDom1+35)=CalendárioAno,MONTH(FevDom1+35)=2),FevDom1+35,""),IF(AND(YEAR(FevDom1+42)=CalendárioAno,MONTH(FevDom1+42)=2),FevDom1+42,""))</f>
        <v/>
      </c>
      <c r="Q11" s="3"/>
      <c r="R11" s="51"/>
      <c r="S11" s="61"/>
      <c r="T11" s="113" t="s">
        <v>32</v>
      </c>
      <c r="U11" s="113"/>
      <c r="V11" s="54"/>
      <c r="W11" s="54"/>
      <c r="X11" s="51"/>
      <c r="Y11" s="21"/>
      <c r="Z11" s="26"/>
      <c r="AC11" s="3"/>
      <c r="AK11" s="3"/>
      <c r="AS11" s="3"/>
    </row>
    <row r="12" spans="2:45" ht="17.100000000000001" customHeight="1" x14ac:dyDescent="0.25">
      <c r="B12" s="8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3"/>
      <c r="R12" s="51"/>
      <c r="S12" s="44" t="s">
        <v>33</v>
      </c>
      <c r="T12" s="106" t="s">
        <v>34</v>
      </c>
      <c r="U12" s="107"/>
      <c r="V12" s="42" t="s">
        <v>35</v>
      </c>
      <c r="W12" s="57" t="s">
        <v>122</v>
      </c>
      <c r="X12" s="51"/>
      <c r="Y12" s="21"/>
      <c r="Z12" s="26"/>
      <c r="AC12" s="3"/>
      <c r="AK12" s="3"/>
      <c r="AS12" s="3"/>
    </row>
    <row r="13" spans="2:45" x14ac:dyDescent="0.25">
      <c r="B13" s="89" t="s">
        <v>81</v>
      </c>
      <c r="C13" s="60"/>
      <c r="D13" s="60"/>
      <c r="E13" s="4"/>
      <c r="F13" s="4"/>
      <c r="G13" s="4"/>
      <c r="H13" s="4"/>
      <c r="I13" s="9"/>
      <c r="J13" s="60" t="s">
        <v>0</v>
      </c>
      <c r="K13" s="60"/>
      <c r="L13" s="60"/>
      <c r="M13" s="4"/>
      <c r="N13" s="4"/>
      <c r="O13" s="4"/>
      <c r="P13" s="4"/>
      <c r="Q13" s="3"/>
      <c r="R13" s="51"/>
      <c r="S13" s="44"/>
      <c r="T13" s="106"/>
      <c r="U13" s="107"/>
      <c r="V13" s="42"/>
      <c r="W13" s="41"/>
      <c r="X13" s="51"/>
      <c r="Y13" s="21"/>
      <c r="Z13" s="26"/>
      <c r="AC13" s="3"/>
      <c r="AK13" s="3"/>
      <c r="AS13" s="3"/>
    </row>
    <row r="14" spans="2:45" ht="17.100000000000001" customHeight="1" x14ac:dyDescent="0.25">
      <c r="B14" s="87" t="s">
        <v>77</v>
      </c>
      <c r="C14" s="6" t="s">
        <v>78</v>
      </c>
      <c r="D14" s="6" t="s">
        <v>79</v>
      </c>
      <c r="E14" s="6" t="s">
        <v>79</v>
      </c>
      <c r="F14" s="6" t="s">
        <v>77</v>
      </c>
      <c r="G14" s="6" t="s">
        <v>77</v>
      </c>
      <c r="H14" s="6" t="s">
        <v>80</v>
      </c>
      <c r="I14" s="62"/>
      <c r="J14" s="6" t="s">
        <v>77</v>
      </c>
      <c r="K14" s="6" t="s">
        <v>78</v>
      </c>
      <c r="L14" s="6" t="s">
        <v>79</v>
      </c>
      <c r="M14" s="6" t="s">
        <v>79</v>
      </c>
      <c r="N14" s="6" t="s">
        <v>77</v>
      </c>
      <c r="O14" s="6" t="s">
        <v>77</v>
      </c>
      <c r="P14" s="6" t="s">
        <v>80</v>
      </c>
      <c r="Q14" s="3"/>
      <c r="R14" s="52"/>
      <c r="S14" s="61"/>
      <c r="T14" s="113" t="s">
        <v>36</v>
      </c>
      <c r="U14" s="113"/>
      <c r="V14" s="54"/>
      <c r="W14" s="54"/>
      <c r="X14" s="52"/>
      <c r="Y14" s="21"/>
      <c r="Z14" s="26"/>
      <c r="AA14" s="10"/>
      <c r="AB14" s="10"/>
      <c r="AC14" s="3"/>
      <c r="AD14" s="10"/>
      <c r="AE14" s="10"/>
      <c r="AF14" s="10"/>
      <c r="AG14" s="10"/>
      <c r="AH14" s="10"/>
      <c r="AI14" s="10"/>
      <c r="AJ14" s="10"/>
      <c r="AK14" s="3"/>
      <c r="AL14" s="10"/>
      <c r="AM14" s="10"/>
      <c r="AN14" s="10"/>
      <c r="AO14" s="10"/>
      <c r="AP14" s="10"/>
      <c r="AQ14" s="10"/>
      <c r="AR14" s="10"/>
      <c r="AS14" s="3"/>
    </row>
    <row r="15" spans="2:45" ht="17.100000000000001" customHeight="1" x14ac:dyDescent="0.25">
      <c r="B15" s="88" t="str">
        <f>IF(DAY(MarDom1)=1,"",IF(AND(YEAR(MarDom1+1)=CalendárioAno,MONTH(MarDom1+1)=3),MarDom1+1,""))</f>
        <v/>
      </c>
      <c r="C15" s="7" t="str">
        <f>IF(DAY(MarDom1)=1,"",IF(AND(YEAR(MarDom1+2)=CalendárioAno,MONTH(MarDom1+2)=3),MarDom1+2,""))</f>
        <v/>
      </c>
      <c r="D15" s="7">
        <f>IF(DAY(MarDom1)=1,"",IF(AND(YEAR(MarDom1+3)=CalendárioAno,MONTH(MarDom1+3)=3),MarDom1+3,""))</f>
        <v>42795</v>
      </c>
      <c r="E15" s="7">
        <f>IF(DAY(MarDom1)=1,"",IF(AND(YEAR(MarDom1+4)=CalendárioAno,MONTH(MarDom1+4)=3),MarDom1+4,""))</f>
        <v>42796</v>
      </c>
      <c r="F15" s="7">
        <f>IF(DAY(MarDom1)=1,"",IF(AND(YEAR(MarDom1+5)=CalendárioAno,MONTH(MarDom1+5)=3),MarDom1+5,""))</f>
        <v>42797</v>
      </c>
      <c r="G15" s="36">
        <f>IF(DAY(MarDom1)=1,"",IF(AND(YEAR(MarDom1+6)=CalendárioAno,MONTH(MarDom1+6)=3),MarDom1+6,""))</f>
        <v>42798</v>
      </c>
      <c r="H15" s="36">
        <f>IF(DAY(MarDom1)=1,IF(AND(YEAR(MarDom1)=CalendárioAno,MONTH(MarDom1)=3),MarDom1,""),IF(AND(YEAR(MarDom1+7)=CalendárioAno,MONTH(MarDom1+7)=3),MarDom1+7,""))</f>
        <v>42799</v>
      </c>
      <c r="I15" s="11"/>
      <c r="J15" s="7" t="str">
        <f>IF(DAY(AbrDom1)=1,"",IF(AND(YEAR(AbrDom1+1)=CalendárioAno,MONTH(AbrDom1+1)=4),AbrDom1+1,""))</f>
        <v/>
      </c>
      <c r="K15" s="7" t="str">
        <f>IF(DAY(AbrDom1)=1,"",IF(AND(YEAR(AbrDom1+2)=CalendárioAno,MONTH(AbrDom1+2)=4),AbrDom1+2,""))</f>
        <v/>
      </c>
      <c r="L15" s="7" t="str">
        <f>IF(DAY(AbrDom1)=1,"",IF(AND(YEAR(AbrDom1+3)=CalendárioAno,MONTH(AbrDom1+3)=4),AbrDom1+3,""))</f>
        <v/>
      </c>
      <c r="M15" s="7" t="str">
        <f>IF(DAY(AbrDom1)=1,"",IF(AND(YEAR(AbrDom1+4)=CalendárioAno,MONTH(AbrDom1+4)=4),AbrDom1+4,""))</f>
        <v/>
      </c>
      <c r="N15" s="7" t="str">
        <f>IF(DAY(AbrDom1)=1,"",IF(AND(YEAR(AbrDom1+5)=CalendárioAno,MONTH(AbrDom1+5)=4),AbrDom1+5,""))</f>
        <v/>
      </c>
      <c r="O15" s="36">
        <f>IF(DAY(AbrDom1)=1,"",IF(AND(YEAR(AbrDom1+6)=CalendárioAno,MONTH(AbrDom1+6)=4),AbrDom1+6,""))</f>
        <v>42826</v>
      </c>
      <c r="P15" s="36">
        <f>IF(DAY(AbrDom1)=1,IF(AND(YEAR(AbrDom1)=CalendárioAno,MONTH(AbrDom1)=4),AbrDom1,""),IF(AND(YEAR(AbrDom1+7)=CalendárioAno,MONTH(AbrDom1+7)=4),AbrDom1+7,""))</f>
        <v>42827</v>
      </c>
      <c r="Q15" s="3"/>
      <c r="R15" s="51"/>
      <c r="S15" s="44" t="s">
        <v>69</v>
      </c>
      <c r="T15" s="106" t="s">
        <v>70</v>
      </c>
      <c r="U15" s="107"/>
      <c r="V15" s="42" t="s">
        <v>71</v>
      </c>
      <c r="W15" s="57" t="s">
        <v>123</v>
      </c>
      <c r="X15" s="51"/>
      <c r="Y15" s="22"/>
      <c r="Z15" s="23"/>
      <c r="AC15" s="3"/>
      <c r="AK15" s="3"/>
      <c r="AS15" s="3"/>
    </row>
    <row r="16" spans="2:45" ht="17.100000000000001" customHeight="1" x14ac:dyDescent="0.25">
      <c r="B16" s="88">
        <f>IF(DAY(MarDom1)=1,IF(AND(YEAR(MarDom1+1)=CalendárioAno,MONTH(MarDom1+1)=3),MarDom1+1,""),IF(AND(YEAR(MarDom1+8)=CalendárioAno,MONTH(MarDom1+8)=3),MarDom1+8,""))</f>
        <v>42800</v>
      </c>
      <c r="C16" s="7">
        <f>IF(DAY(MarDom1)=1,IF(AND(YEAR(MarDom1+2)=CalendárioAno,MONTH(MarDom1+2)=3),MarDom1+2,""),IF(AND(YEAR(MarDom1+9)=CalendárioAno,MONTH(MarDom1+9)=3),MarDom1+9,""))</f>
        <v>42801</v>
      </c>
      <c r="D16" s="7">
        <f>IF(DAY(MarDom1)=1,IF(AND(YEAR(MarDom1+3)=CalendárioAno,MONTH(MarDom1+3)=3),MarDom1+3,""),IF(AND(YEAR(MarDom1+10)=CalendárioAno,MONTH(MarDom1+10)=3),MarDom1+10,""))</f>
        <v>42802</v>
      </c>
      <c r="E16" s="7">
        <f>IF(DAY(MarDom1)=1,IF(AND(YEAR(MarDom1+4)=CalendárioAno,MONTH(MarDom1+4)=3),MarDom1+4,""),IF(AND(YEAR(MarDom1+11)=CalendárioAno,MONTH(MarDom1+11)=3),MarDom1+11,""))</f>
        <v>42803</v>
      </c>
      <c r="F16" s="7">
        <f>IF(DAY(MarDom1)=1,IF(AND(YEAR(MarDom1+5)=CalendárioAno,MONTH(MarDom1+5)=3),MarDom1+5,""),IF(AND(YEAR(MarDom1+12)=CalendárioAno,MONTH(MarDom1+12)=3),MarDom1+12,""))</f>
        <v>42804</v>
      </c>
      <c r="G16" s="36">
        <f>IF(DAY(MarDom1)=1,IF(AND(YEAR(MarDom1+6)=CalendárioAno,MONTH(MarDom1+6)=3),MarDom1+6,""),IF(AND(YEAR(MarDom1+13)=CalendárioAno,MONTH(MarDom1+13)=3),MarDom1+13,""))</f>
        <v>42805</v>
      </c>
      <c r="H16" s="36">
        <f>IF(DAY(MarDom1)=1,IF(AND(YEAR(MarDom1+7)=CalendárioAno,MONTH(MarDom1+7)=3),MarDom1+7,""),IF(AND(YEAR(MarDom1+14)=CalendárioAno,MONTH(MarDom1+14)=3),MarDom1+14,""))</f>
        <v>42806</v>
      </c>
      <c r="I16" s="7"/>
      <c r="J16" s="7">
        <f>IF(DAY(AbrDom1)=1,IF(AND(YEAR(AbrDom1+1)=CalendárioAno,MONTH(AbrDom1+1)=4),AbrDom1+1,""),IF(AND(YEAR(AbrDom1+8)=CalendárioAno,MONTH(AbrDom1+8)=4),AbrDom1+8,""))</f>
        <v>42828</v>
      </c>
      <c r="K16" s="7">
        <f>IF(DAY(AbrDom1)=1,IF(AND(YEAR(AbrDom1+2)=CalendárioAno,MONTH(AbrDom1+2)=4),AbrDom1+2,""),IF(AND(YEAR(AbrDom1+9)=CalendárioAno,MONTH(AbrDom1+9)=4),AbrDom1+9,""))</f>
        <v>42829</v>
      </c>
      <c r="L16" s="7">
        <f>IF(DAY(AbrDom1)=1,IF(AND(YEAR(AbrDom1+3)=CalendárioAno,MONTH(AbrDom1+3)=4),AbrDom1+3,""),IF(AND(YEAR(AbrDom1+10)=CalendárioAno,MONTH(AbrDom1+10)=4),AbrDom1+10,""))</f>
        <v>42830</v>
      </c>
      <c r="M16" s="7">
        <f>IF(DAY(AbrDom1)=1,IF(AND(YEAR(AbrDom1+4)=CalendárioAno,MONTH(AbrDom1+4)=4),AbrDom1+4,""),IF(AND(YEAR(AbrDom1+11)=CalendárioAno,MONTH(AbrDom1+11)=4),AbrDom1+11,""))</f>
        <v>42831</v>
      </c>
      <c r="N16" s="7">
        <f>IF(DAY(AbrDom1)=1,IF(AND(YEAR(AbrDom1+5)=CalendárioAno,MONTH(AbrDom1+5)=4),AbrDom1+5,""),IF(AND(YEAR(AbrDom1+12)=CalendárioAno,MONTH(AbrDom1+12)=4),AbrDom1+12,""))</f>
        <v>42832</v>
      </c>
      <c r="O16" s="36">
        <f>IF(DAY(AbrDom1)=1,IF(AND(YEAR(AbrDom1+6)=CalendárioAno,MONTH(AbrDom1+6)=4),AbrDom1+6,""),IF(AND(YEAR(AbrDom1+13)=CalendárioAno,MONTH(AbrDom1+13)=4),AbrDom1+13,""))</f>
        <v>42833</v>
      </c>
      <c r="P16" s="36">
        <f>IF(DAY(AbrDom1)=1,IF(AND(YEAR(AbrDom1+7)=CalendárioAno,MONTH(AbrDom1+7)=4),AbrDom1+7,""),IF(AND(YEAR(AbrDom1+14)=CalendárioAno,MONTH(AbrDom1+14)=4),AbrDom1+14,""))</f>
        <v>42834</v>
      </c>
      <c r="Q16" s="3"/>
      <c r="R16" s="51"/>
      <c r="S16" s="44"/>
      <c r="T16" s="106"/>
      <c r="U16" s="107"/>
      <c r="V16" s="42"/>
      <c r="W16" s="41"/>
      <c r="X16" s="51"/>
      <c r="Y16" s="22"/>
      <c r="Z16" s="23"/>
      <c r="AC16" s="3"/>
      <c r="AK16" s="3"/>
      <c r="AS16" s="3"/>
    </row>
    <row r="17" spans="2:45" ht="17.100000000000001" customHeight="1" x14ac:dyDescent="0.25">
      <c r="B17" s="88">
        <f>IF(DAY(MarDom1)=1,IF(AND(YEAR(MarDom1+8)=CalendárioAno,MONTH(MarDom1+8)=3),MarDom1+8,""),IF(AND(YEAR(MarDom1+15)=CalendárioAno,MONTH(MarDom1+15)=3),MarDom1+15,""))</f>
        <v>42807</v>
      </c>
      <c r="C17" s="7">
        <f>IF(DAY(MarDom1)=1,IF(AND(YEAR(MarDom1+9)=CalendárioAno,MONTH(MarDom1+9)=3),MarDom1+9,""),IF(AND(YEAR(MarDom1+16)=CalendárioAno,MONTH(MarDom1+16)=3),MarDom1+16,""))</f>
        <v>42808</v>
      </c>
      <c r="D17" s="7">
        <f>IF(DAY(MarDom1)=1,IF(AND(YEAR(MarDom1+10)=CalendárioAno,MONTH(MarDom1+10)=3),MarDom1+10,""),IF(AND(YEAR(MarDom1+17)=CalendárioAno,MONTH(MarDom1+17)=3),MarDom1+17,""))</f>
        <v>42809</v>
      </c>
      <c r="E17" s="7">
        <f>IF(DAY(MarDom1)=1,IF(AND(YEAR(MarDom1+11)=CalendárioAno,MONTH(MarDom1+11)=3),MarDom1+11,""),IF(AND(YEAR(MarDom1+18)=CalendárioAno,MONTH(MarDom1+18)=3),MarDom1+18,""))</f>
        <v>42810</v>
      </c>
      <c r="F17" s="7">
        <f>IF(DAY(MarDom1)=1,IF(AND(YEAR(MarDom1+12)=CalendárioAno,MONTH(MarDom1+12)=3),MarDom1+12,""),IF(AND(YEAR(MarDom1+19)=CalendárioAno,MONTH(MarDom1+19)=3),MarDom1+19,""))</f>
        <v>42811</v>
      </c>
      <c r="G17" s="36">
        <f>IF(DAY(MarDom1)=1,IF(AND(YEAR(MarDom1+13)=CalendárioAno,MONTH(MarDom1+13)=3),MarDom1+13,""),IF(AND(YEAR(MarDom1+20)=CalendárioAno,MONTH(MarDom1+20)=3),MarDom1+20,""))</f>
        <v>42812</v>
      </c>
      <c r="H17" s="36">
        <f>IF(DAY(MarDom1)=1,IF(AND(YEAR(MarDom1+14)=CalendárioAno,MONTH(MarDom1+14)=3),MarDom1+14,""),IF(AND(YEAR(MarDom1+21)=CalendárioAno,MONTH(MarDom1+21)=3),MarDom1+21,""))</f>
        <v>42813</v>
      </c>
      <c r="I17" s="7"/>
      <c r="J17" s="7">
        <f>IF(DAY(AbrDom1)=1,IF(AND(YEAR(AbrDom1+8)=CalendárioAno,MONTH(AbrDom1+8)=4),AbrDom1+8,""),IF(AND(YEAR(AbrDom1+15)=CalendárioAno,MONTH(AbrDom1+15)=4),AbrDom1+15,""))</f>
        <v>42835</v>
      </c>
      <c r="K17" s="7">
        <f>IF(DAY(AbrDom1)=1,IF(AND(YEAR(AbrDom1+9)=CalendárioAno,MONTH(AbrDom1+9)=4),AbrDom1+9,""),IF(AND(YEAR(AbrDom1+16)=CalendárioAno,MONTH(AbrDom1+16)=4),AbrDom1+16,""))</f>
        <v>42836</v>
      </c>
      <c r="L17" s="7">
        <f>IF(DAY(AbrDom1)=1,IF(AND(YEAR(AbrDom1+10)=CalendárioAno,MONTH(AbrDom1+10)=4),AbrDom1+10,""),IF(AND(YEAR(AbrDom1+17)=CalendárioAno,MONTH(AbrDom1+17)=4),AbrDom1+17,""))</f>
        <v>42837</v>
      </c>
      <c r="M17" s="7">
        <f>IF(DAY(AbrDom1)=1,IF(AND(YEAR(AbrDom1+11)=CalendárioAno,MONTH(AbrDom1+11)=4),AbrDom1+11,""),IF(AND(YEAR(AbrDom1+18)=CalendárioAno,MONTH(AbrDom1+18)=4),AbrDom1+18,""))</f>
        <v>42838</v>
      </c>
      <c r="N17" s="7">
        <f>IF(DAY(AbrDom1)=1,IF(AND(YEAR(AbrDom1+12)=CalendárioAno,MONTH(AbrDom1+12)=4),AbrDom1+12,""),IF(AND(YEAR(AbrDom1+19)=CalendárioAno,MONTH(AbrDom1+19)=4),AbrDom1+19,""))</f>
        <v>42839</v>
      </c>
      <c r="O17" s="36">
        <f>IF(DAY(AbrDom1)=1,IF(AND(YEAR(AbrDom1+13)=CalendárioAno,MONTH(AbrDom1+13)=4),AbrDom1+13,""),IF(AND(YEAR(AbrDom1+20)=CalendárioAno,MONTH(AbrDom1+20)=4),AbrDom1+20,""))</f>
        <v>42840</v>
      </c>
      <c r="P17" s="36">
        <f>IF(DAY(AbrDom1)=1,IF(AND(YEAR(AbrDom1+14)=CalendárioAno,MONTH(AbrDom1+14)=4),AbrDom1+14,""),IF(AND(YEAR(AbrDom1+21)=CalendárioAno,MONTH(AbrDom1+21)=4),AbrDom1+21,""))</f>
        <v>42841</v>
      </c>
      <c r="Q17" s="8"/>
      <c r="R17" s="51"/>
      <c r="S17" s="44"/>
      <c r="T17" s="106"/>
      <c r="U17" s="107"/>
      <c r="V17" s="42"/>
      <c r="W17" s="41"/>
      <c r="X17" s="51"/>
      <c r="Y17" s="22"/>
      <c r="Z17" s="23"/>
      <c r="AC17" s="3"/>
      <c r="AK17" s="3"/>
      <c r="AS17" s="3"/>
    </row>
    <row r="18" spans="2:45" ht="17.100000000000001" customHeight="1" x14ac:dyDescent="0.25">
      <c r="B18" s="88">
        <f>IF(DAY(MarDom1)=1,IF(AND(YEAR(MarDom1+15)=CalendárioAno,MONTH(MarDom1+15)=3),MarDom1+15,""),IF(AND(YEAR(MarDom1+22)=CalendárioAno,MONTH(MarDom1+22)=3),MarDom1+22,""))</f>
        <v>42814</v>
      </c>
      <c r="C18" s="7">
        <f>IF(DAY(MarDom1)=1,IF(AND(YEAR(MarDom1+16)=CalendárioAno,MONTH(MarDom1+16)=3),MarDom1+16,""),IF(AND(YEAR(MarDom1+23)=CalendárioAno,MONTH(MarDom1+23)=3),MarDom1+23,""))</f>
        <v>42815</v>
      </c>
      <c r="D18" s="7">
        <f>IF(DAY(MarDom1)=1,IF(AND(YEAR(MarDom1+17)=CalendárioAno,MONTH(MarDom1+17)=3),MarDom1+17,""),IF(AND(YEAR(MarDom1+24)=CalendárioAno,MONTH(MarDom1+24)=3),MarDom1+24,""))</f>
        <v>42816</v>
      </c>
      <c r="E18" s="7">
        <f>IF(DAY(MarDom1)=1,IF(AND(YEAR(MarDom1+18)=CalendárioAno,MONTH(MarDom1+18)=3),MarDom1+18,""),IF(AND(YEAR(MarDom1+25)=CalendárioAno,MONTH(MarDom1+25)=3),MarDom1+25,""))</f>
        <v>42817</v>
      </c>
      <c r="F18" s="7">
        <f>IF(DAY(MarDom1)=1,IF(AND(YEAR(MarDom1+19)=CalendárioAno,MONTH(MarDom1+19)=3),MarDom1+19,""),IF(AND(YEAR(MarDom1+26)=CalendárioAno,MONTH(MarDom1+26)=3),MarDom1+26,""))</f>
        <v>42818</v>
      </c>
      <c r="G18" s="36">
        <f>IF(DAY(MarDom1)=1,IF(AND(YEAR(MarDom1+20)=CalendárioAno,MONTH(MarDom1+20)=3),MarDom1+20,""),IF(AND(YEAR(MarDom1+27)=CalendárioAno,MONTH(MarDom1+27)=3),MarDom1+27,""))</f>
        <v>42819</v>
      </c>
      <c r="H18" s="36">
        <f>IF(DAY(MarDom1)=1,IF(AND(YEAR(MarDom1+21)=CalendárioAno,MONTH(MarDom1+21)=3),MarDom1+21,""),IF(AND(YEAR(MarDom1+28)=CalendárioAno,MONTH(MarDom1+28)=3),MarDom1+28,""))</f>
        <v>42820</v>
      </c>
      <c r="I18" s="7"/>
      <c r="J18" s="7">
        <f>IF(DAY(AbrDom1)=1,IF(AND(YEAR(AbrDom1+15)=CalendárioAno,MONTH(AbrDom1+15)=4),AbrDom1+15,""),IF(AND(YEAR(AbrDom1+22)=CalendárioAno,MONTH(AbrDom1+22)=4),AbrDom1+22,""))</f>
        <v>42842</v>
      </c>
      <c r="K18" s="7">
        <f>IF(DAY(AbrDom1)=1,IF(AND(YEAR(AbrDom1+16)=CalendárioAno,MONTH(AbrDom1+16)=4),AbrDom1+16,""),IF(AND(YEAR(AbrDom1+23)=CalendárioAno,MONTH(AbrDom1+23)=4),AbrDom1+23,""))</f>
        <v>42843</v>
      </c>
      <c r="L18" s="7">
        <f>IF(DAY(AbrDom1)=1,IF(AND(YEAR(AbrDom1+17)=CalendárioAno,MONTH(AbrDom1+17)=4),AbrDom1+17,""),IF(AND(YEAR(AbrDom1+24)=CalendárioAno,MONTH(AbrDom1+24)=4),AbrDom1+24,""))</f>
        <v>42844</v>
      </c>
      <c r="M18" s="7">
        <f>IF(DAY(AbrDom1)=1,IF(AND(YEAR(AbrDom1+18)=CalendárioAno,MONTH(AbrDom1+18)=4),AbrDom1+18,""),IF(AND(YEAR(AbrDom1+25)=CalendárioAno,MONTH(AbrDom1+25)=4),AbrDom1+25,""))</f>
        <v>42845</v>
      </c>
      <c r="N18" s="7">
        <f>IF(DAY(AbrDom1)=1,IF(AND(YEAR(AbrDom1+19)=CalendárioAno,MONTH(AbrDom1+19)=4),AbrDom1+19,""),IF(AND(YEAR(AbrDom1+26)=CalendárioAno,MONTH(AbrDom1+26)=4),AbrDom1+26,""))</f>
        <v>42846</v>
      </c>
      <c r="O18" s="36">
        <f>IF(DAY(AbrDom1)=1,IF(AND(YEAR(AbrDom1+20)=CalendárioAno,MONTH(AbrDom1+20)=4),AbrDom1+20,""),IF(AND(YEAR(AbrDom1+27)=CalendárioAno,MONTH(AbrDom1+27)=4),AbrDom1+27,""))</f>
        <v>42847</v>
      </c>
      <c r="P18" s="36">
        <f>IF(DAY(AbrDom1)=1,IF(AND(YEAR(AbrDom1+21)=CalendárioAno,MONTH(AbrDom1+21)=4),AbrDom1+21,""),IF(AND(YEAR(AbrDom1+28)=CalendárioAno,MONTH(AbrDom1+28)=4),AbrDom1+28,""))</f>
        <v>42848</v>
      </c>
      <c r="Q18" s="14"/>
      <c r="R18" s="51"/>
      <c r="S18" s="44" t="s">
        <v>85</v>
      </c>
      <c r="T18" s="106" t="s">
        <v>62</v>
      </c>
      <c r="U18" s="107"/>
      <c r="V18" s="42" t="s">
        <v>20</v>
      </c>
      <c r="W18" s="57" t="s">
        <v>95</v>
      </c>
      <c r="X18" s="51"/>
      <c r="Y18" s="22"/>
      <c r="Z18" s="23"/>
      <c r="AC18" s="3"/>
      <c r="AK18" s="3"/>
      <c r="AS18" s="3"/>
    </row>
    <row r="19" spans="2:45" ht="17.100000000000001" customHeight="1" x14ac:dyDescent="0.25">
      <c r="B19" s="88">
        <f>IF(DAY(MarDom1)=1,IF(AND(YEAR(MarDom1+22)=CalendárioAno,MONTH(MarDom1+22)=3),MarDom1+22,""),IF(AND(YEAR(MarDom1+29)=CalendárioAno,MONTH(MarDom1+29)=3),MarDom1+29,""))</f>
        <v>42821</v>
      </c>
      <c r="C19" s="7">
        <f>IF(DAY(MarDom1)=1,IF(AND(YEAR(MarDom1+23)=CalendárioAno,MONTH(MarDom1+23)=3),MarDom1+23,""),IF(AND(YEAR(MarDom1+30)=CalendárioAno,MONTH(MarDom1+30)=3),MarDom1+30,""))</f>
        <v>42822</v>
      </c>
      <c r="D19" s="7">
        <f>IF(DAY(MarDom1)=1,IF(AND(YEAR(MarDom1+24)=CalendárioAno,MONTH(MarDom1+24)=3),MarDom1+24,""),IF(AND(YEAR(MarDom1+31)=CalendárioAno,MONTH(MarDom1+31)=3),MarDom1+31,""))</f>
        <v>42823</v>
      </c>
      <c r="E19" s="7">
        <f>IF(DAY(MarDom1)=1,IF(AND(YEAR(MarDom1+25)=CalendárioAno,MONTH(MarDom1+25)=3),MarDom1+25,""),IF(AND(YEAR(MarDom1+32)=CalendárioAno,MONTH(MarDom1+32)=3),MarDom1+32,""))</f>
        <v>42824</v>
      </c>
      <c r="F19" s="7">
        <f>IF(DAY(MarDom1)=1,IF(AND(YEAR(MarDom1+26)=CalendárioAno,MONTH(MarDom1+26)=3),MarDom1+26,""),IF(AND(YEAR(MarDom1+33)=CalendárioAno,MONTH(MarDom1+33)=3),MarDom1+33,""))</f>
        <v>42825</v>
      </c>
      <c r="G19" s="7" t="str">
        <f>IF(DAY(MarDom1)=1,IF(AND(YEAR(MarDom1+27)=CalendárioAno,MONTH(MarDom1+27)=3),MarDom1+27,""),IF(AND(YEAR(MarDom1+34)=CalendárioAno,MONTH(MarDom1+34)=3),MarDom1+34,""))</f>
        <v/>
      </c>
      <c r="H19" s="7" t="str">
        <f>IF(DAY(MarDom1)=1,IF(AND(YEAR(MarDom1+28)=CalendárioAno,MONTH(MarDom1+28)=3),MarDom1+28,""),IF(AND(YEAR(MarDom1+35)=CalendárioAno,MONTH(MarDom1+35)=3),MarDom1+35,""))</f>
        <v/>
      </c>
      <c r="I19" s="7"/>
      <c r="J19" s="7">
        <f>IF(DAY(AbrDom1)=1,IF(AND(YEAR(AbrDom1+22)=CalendárioAno,MONTH(AbrDom1+22)=4),AbrDom1+22,""),IF(AND(YEAR(AbrDom1+29)=CalendárioAno,MONTH(AbrDom1+29)=4),AbrDom1+29,""))</f>
        <v>42849</v>
      </c>
      <c r="K19" s="7">
        <f>IF(DAY(AbrDom1)=1,IF(AND(YEAR(AbrDom1+23)=CalendárioAno,MONTH(AbrDom1+23)=4),AbrDom1+23,""),IF(AND(YEAR(AbrDom1+30)=CalendárioAno,MONTH(AbrDom1+30)=4),AbrDom1+30,""))</f>
        <v>42850</v>
      </c>
      <c r="L19" s="7">
        <f>IF(DAY(AbrDom1)=1,IF(AND(YEAR(AbrDom1+24)=CalendárioAno,MONTH(AbrDom1+24)=4),AbrDom1+24,""),IF(AND(YEAR(AbrDom1+31)=CalendárioAno,MONTH(AbrDom1+31)=4),AbrDom1+31,""))</f>
        <v>42851</v>
      </c>
      <c r="M19" s="7">
        <f>IF(DAY(AbrDom1)=1,IF(AND(YEAR(AbrDom1+25)=CalendárioAno,MONTH(AbrDom1+25)=4),AbrDom1+25,""),IF(AND(YEAR(AbrDom1+32)=CalendárioAno,MONTH(AbrDom1+32)=4),AbrDom1+32,""))</f>
        <v>42852</v>
      </c>
      <c r="N19" s="7">
        <f>IF(DAY(AbrDom1)=1,IF(AND(YEAR(AbrDom1+26)=CalendárioAno,MONTH(AbrDom1+26)=4),AbrDom1+26,""),IF(AND(YEAR(AbrDom1+33)=CalendárioAno,MONTH(AbrDom1+33)=4),AbrDom1+33,""))</f>
        <v>42853</v>
      </c>
      <c r="O19" s="36">
        <f>IF(DAY(AbrDom1)=1,IF(AND(YEAR(AbrDom1+27)=CalendárioAno,MONTH(AbrDom1+27)=4),AbrDom1+27,""),IF(AND(YEAR(AbrDom1+34)=CalendárioAno,MONTH(AbrDom1+34)=4),AbrDom1+34,""))</f>
        <v>42854</v>
      </c>
      <c r="P19" s="36">
        <f>IF(DAY(AbrDom1)=1,IF(AND(YEAR(AbrDom1+28)=CalendárioAno,MONTH(AbrDom1+28)=4),AbrDom1+28,""),IF(AND(YEAR(AbrDom1+35)=CalendárioAno,MONTH(AbrDom1+35)=4),AbrDom1+35,""))</f>
        <v>42855</v>
      </c>
      <c r="Q19" s="15"/>
      <c r="R19" s="51"/>
      <c r="S19" s="61"/>
      <c r="T19" s="105" t="s">
        <v>37</v>
      </c>
      <c r="U19" s="105"/>
      <c r="V19" s="54"/>
      <c r="W19" s="54"/>
      <c r="X19" s="51"/>
      <c r="Y19" s="22"/>
      <c r="Z19" s="23"/>
      <c r="AC19" s="3"/>
      <c r="AK19" s="3"/>
      <c r="AS19" s="3"/>
    </row>
    <row r="20" spans="2:45" ht="17.100000000000001" customHeight="1" x14ac:dyDescent="0.25">
      <c r="B20" s="88" t="str">
        <f>IF(DAY(MarDom1)=1,IF(AND(YEAR(MarDom1+29)=CalendárioAno,MONTH(MarDom1+29)=3),MarDom1+29,""),IF(AND(YEAR(MarDom1+36)=CalendárioAno,MONTH(MarDom1+36)=3),MarDom1+36,""))</f>
        <v/>
      </c>
      <c r="C20" s="7" t="str">
        <f>IF(DAY(MarDom1)=1,IF(AND(YEAR(MarDom1+30)=CalendárioAno,MONTH(MarDom1+30)=3),MarDom1+30,""),IF(AND(YEAR(MarDom1+37)=CalendárioAno,MONTH(MarDom1+37)=3),MarDom1+37,""))</f>
        <v/>
      </c>
      <c r="D20" s="7" t="str">
        <f>IF(DAY(MarDom1)=1,IF(AND(YEAR(MarDom1+31)=CalendárioAno,MONTH(MarDom1+31)=3),MarDom1+31,""),IF(AND(YEAR(MarDom1+38)=CalendárioAno,MONTH(MarDom1+38)=3),MarDom1+38,""))</f>
        <v/>
      </c>
      <c r="E20" s="7" t="str">
        <f>IF(DAY(MarDom1)=1,IF(AND(YEAR(MarDom1+32)=CalendárioAno,MONTH(MarDom1+32)=3),MarDom1+32,""),IF(AND(YEAR(MarDom1+39)=CalendárioAno,MONTH(MarDom1+39)=3),MarDom1+39,""))</f>
        <v/>
      </c>
      <c r="F20" s="7" t="str">
        <f>IF(DAY(MarDom1)=1,IF(AND(YEAR(MarDom1+33)=CalendárioAno,MONTH(MarDom1+33)=3),MarDom1+33,""),IF(AND(YEAR(MarDom1+40)=CalendárioAno,MONTH(MarDom1+40)=3),MarDom1+40,""))</f>
        <v/>
      </c>
      <c r="G20" s="7" t="str">
        <f>IF(DAY(MarDom1)=1,IF(AND(YEAR(MarDom1+34)=CalendárioAno,MONTH(MarDom1+34)=3),MarDom1+34,""),IF(AND(YEAR(MarDom1+41)=CalendárioAno,MONTH(MarDom1+41)=3),MarDom1+41,""))</f>
        <v/>
      </c>
      <c r="H20" s="7" t="str">
        <f>IF(DAY(MarDom1)=1,IF(AND(YEAR(MarDom1+35)=CalendárioAno,MONTH(MarDom1+35)=3),MarDom1+35,""),IF(AND(YEAR(MarDom1+42)=CalendárioAno,MONTH(MarDom1+42)=3),MarDom1+42,""))</f>
        <v/>
      </c>
      <c r="I20" s="7"/>
      <c r="J20" s="7" t="str">
        <f>IF(DAY(AbrDom1)=1,IF(AND(YEAR(AbrDom1+29)=CalendárioAno,MONTH(AbrDom1+29)=4),AbrDom1+29,""),IF(AND(YEAR(AbrDom1+36)=CalendárioAno,MONTH(AbrDom1+36)=4),AbrDom1+36,""))</f>
        <v/>
      </c>
      <c r="K20" s="7" t="str">
        <f>IF(DAY(AbrDom1)=1,IF(AND(YEAR(AbrDom1+30)=CalendárioAno,MONTH(AbrDom1+30)=4),AbrDom1+30,""),IF(AND(YEAR(AbrDom1+37)=CalendárioAno,MONTH(AbrDom1+37)=4),AbrDom1+37,""))</f>
        <v/>
      </c>
      <c r="L20" s="7" t="str">
        <f>IF(DAY(AbrDom1)=1,IF(AND(YEAR(AbrDom1+31)=CalendárioAno,MONTH(AbrDom1+31)=4),AbrDom1+31,""),IF(AND(YEAR(AbrDom1+38)=CalendárioAno,MONTH(AbrDom1+38)=4),AbrDom1+38,""))</f>
        <v/>
      </c>
      <c r="M20" s="7" t="str">
        <f>IF(DAY(AbrDom1)=1,IF(AND(YEAR(AbrDom1+32)=CalendárioAno,MONTH(AbrDom1+32)=4),AbrDom1+32,""),IF(AND(YEAR(AbrDom1+39)=CalendárioAno,MONTH(AbrDom1+39)=4),AbrDom1+39,""))</f>
        <v/>
      </c>
      <c r="N20" s="7" t="str">
        <f>IF(DAY(AbrDom1)=1,IF(AND(YEAR(AbrDom1+33)=CalendárioAno,MONTH(AbrDom1+33)=4),AbrDom1+33,""),IF(AND(YEAR(AbrDom1+40)=CalendárioAno,MONTH(AbrDom1+40)=4),AbrDom1+40,""))</f>
        <v/>
      </c>
      <c r="O20" s="7" t="str">
        <f>IF(DAY(AbrDom1)=1,IF(AND(YEAR(AbrDom1+34)=CalendárioAno,MONTH(AbrDom1+34)=4),AbrDom1+34,""),IF(AND(YEAR(AbrDom1+41)=CalendárioAno,MONTH(AbrDom1+41)=4),AbrDom1+41,""))</f>
        <v/>
      </c>
      <c r="P20" s="7" t="str">
        <f>IF(DAY(AbrDom1)=1,IF(AND(YEAR(AbrDom1+35)=CalendárioAno,MONTH(AbrDom1+35)=4),AbrDom1+35,""),IF(AND(YEAR(AbrDom1+42)=CalendárioAno,MONTH(AbrDom1+42)=4),AbrDom1+42,""))</f>
        <v/>
      </c>
      <c r="Q20" s="3"/>
      <c r="R20" s="51"/>
      <c r="S20" s="44"/>
      <c r="T20" s="106" t="s">
        <v>84</v>
      </c>
      <c r="U20" s="107"/>
      <c r="V20" s="42" t="s">
        <v>35</v>
      </c>
      <c r="W20" s="41"/>
      <c r="X20" s="51"/>
      <c r="Y20" s="22"/>
      <c r="Z20" s="23"/>
      <c r="AC20" s="3"/>
      <c r="AK20" s="3"/>
      <c r="AS20" s="3"/>
    </row>
    <row r="21" spans="2:45" ht="17.100000000000001" customHeight="1" x14ac:dyDescent="0.25">
      <c r="B21" s="89" t="s">
        <v>82</v>
      </c>
      <c r="C21" s="60"/>
      <c r="D21" s="60"/>
      <c r="E21" s="4"/>
      <c r="F21" s="4"/>
      <c r="G21" s="4"/>
      <c r="H21" s="4"/>
      <c r="I21" s="16"/>
      <c r="J21" s="60" t="s">
        <v>1</v>
      </c>
      <c r="K21" s="60"/>
      <c r="L21" s="60"/>
      <c r="M21" s="4"/>
      <c r="N21" s="4"/>
      <c r="O21" s="4"/>
      <c r="P21" s="4"/>
      <c r="Q21" s="3"/>
      <c r="R21" s="51"/>
      <c r="S21" s="44"/>
      <c r="T21" s="106" t="s">
        <v>83</v>
      </c>
      <c r="U21" s="107"/>
      <c r="V21" s="42" t="s">
        <v>35</v>
      </c>
      <c r="W21" s="41"/>
      <c r="X21" s="51"/>
      <c r="Y21" s="22"/>
      <c r="Z21" s="23"/>
      <c r="AC21" s="3"/>
      <c r="AK21" s="3"/>
      <c r="AS21" s="3"/>
    </row>
    <row r="22" spans="2:45" ht="17.100000000000001" customHeight="1" x14ac:dyDescent="0.25">
      <c r="B22" s="87" t="s">
        <v>77</v>
      </c>
      <c r="C22" s="6" t="s">
        <v>78</v>
      </c>
      <c r="D22" s="6" t="s">
        <v>79</v>
      </c>
      <c r="E22" s="6" t="s">
        <v>79</v>
      </c>
      <c r="F22" s="6" t="s">
        <v>77</v>
      </c>
      <c r="G22" s="6" t="s">
        <v>77</v>
      </c>
      <c r="H22" s="6" t="s">
        <v>80</v>
      </c>
      <c r="I22" s="63"/>
      <c r="J22" s="6" t="s">
        <v>77</v>
      </c>
      <c r="K22" s="6" t="s">
        <v>78</v>
      </c>
      <c r="L22" s="6" t="s">
        <v>79</v>
      </c>
      <c r="M22" s="6" t="s">
        <v>79</v>
      </c>
      <c r="N22" s="6" t="s">
        <v>77</v>
      </c>
      <c r="O22" s="6" t="s">
        <v>77</v>
      </c>
      <c r="P22" s="6" t="s">
        <v>80</v>
      </c>
      <c r="Q22" s="3"/>
      <c r="R22" s="51"/>
      <c r="S22" s="44"/>
      <c r="T22" s="106"/>
      <c r="U22" s="107"/>
      <c r="V22" s="42"/>
      <c r="W22" s="41"/>
      <c r="X22" s="51"/>
      <c r="Y22" s="22"/>
      <c r="Z22" s="23"/>
      <c r="AC22" s="3"/>
      <c r="AK22" s="3"/>
      <c r="AS22" s="3"/>
    </row>
    <row r="23" spans="2:45" ht="17.100000000000001" customHeight="1" x14ac:dyDescent="0.25">
      <c r="B23" s="90">
        <f>IF(DAY(MaiDom1)=1,"",IF(AND(YEAR(MaiDom1+1)=CalendárioAno,MONTH(MaiDom1+1)=5),MaiDom1+1,""))</f>
        <v>42856</v>
      </c>
      <c r="C23" s="7">
        <f>IF(DAY(MaiDom1)=1,"",IF(AND(YEAR(MaiDom1+2)=CalendárioAno,MONTH(MaiDom1+2)=5),MaiDom1+2,""))</f>
        <v>42857</v>
      </c>
      <c r="D23" s="7">
        <f>IF(DAY(MaiDom1)=1,"",IF(AND(YEAR(MaiDom1+3)=CalendárioAno,MONTH(MaiDom1+3)=5),MaiDom1+3,""))</f>
        <v>42858</v>
      </c>
      <c r="E23" s="7">
        <f>IF(DAY(MaiDom1)=1,"",IF(AND(YEAR(MaiDom1+4)=CalendárioAno,MONTH(MaiDom1+4)=5),MaiDom1+4,""))</f>
        <v>42859</v>
      </c>
      <c r="F23" s="7">
        <f>IF(DAY(MaiDom1)=1,"",IF(AND(YEAR(MaiDom1+5)=CalendárioAno,MONTH(MaiDom1+5)=5),MaiDom1+5,""))</f>
        <v>42860</v>
      </c>
      <c r="G23" s="36">
        <f>IF(DAY(MaiDom1)=1,"",IF(AND(YEAR(MaiDom1+6)=CalendárioAno,MONTH(MaiDom1+6)=5),MaiDom1+6,""))</f>
        <v>42861</v>
      </c>
      <c r="H23" s="36">
        <f>IF(DAY(MaiDom1)=1,IF(AND(YEAR(MaiDom1)=CalendárioAno,MONTH(MaiDom1)=5),MaiDom1,""),IF(AND(YEAR(MaiDom1+7)=CalendárioAno,MONTH(MaiDom1+7)=5),MaiDom1+7,""))</f>
        <v>42862</v>
      </c>
      <c r="I23" s="18"/>
      <c r="J23" s="7" t="str">
        <f>IF(DAY(JunDom1)=1,"",IF(AND(YEAR(JunDom1+1)=CalendárioAno,MONTH(JunDom1+1)=6),JunDom1+1,""))</f>
        <v/>
      </c>
      <c r="K23" s="7" t="str">
        <f>IF(DAY(JunDom1)=1,"",IF(AND(YEAR(JunDom1+2)=CalendárioAno,MONTH(JunDom1+2)=6),JunDom1+2,""))</f>
        <v/>
      </c>
      <c r="L23" s="7" t="str">
        <f>IF(DAY(JunDom1)=1,"",IF(AND(YEAR(JunDom1+3)=CalendárioAno,MONTH(JunDom1+3)=6),JunDom1+3,""))</f>
        <v/>
      </c>
      <c r="M23" s="7">
        <f>IF(DAY(JunDom1)=1,"",IF(AND(YEAR(JunDom1+4)=CalendárioAno,MONTH(JunDom1+4)=6),JunDom1+4,""))</f>
        <v>42887</v>
      </c>
      <c r="N23" s="7">
        <f>IF(DAY(JunDom1)=1,"",IF(AND(YEAR(JunDom1+5)=CalendárioAno,MONTH(JunDom1+5)=6),JunDom1+5,""))</f>
        <v>42888</v>
      </c>
      <c r="O23" s="36">
        <f>IF(DAY(JunDom1)=1,"",IF(AND(YEAR(JunDom1+6)=CalendárioAno,MONTH(JunDom1+6)=6),JunDom1+6,""))</f>
        <v>42889</v>
      </c>
      <c r="P23" s="36">
        <f>IF(DAY(JunDom1)=1,IF(AND(YEAR(JunDom1)=CalendárioAno,MONTH(JunDom1)=6),JunDom1,""),IF(AND(YEAR(JunDom1+7)=CalendárioAno,MONTH(JunDom1+7)=6),JunDom1+7,""))</f>
        <v>42890</v>
      </c>
      <c r="Q23" s="3"/>
      <c r="R23" s="51"/>
      <c r="S23" s="44"/>
      <c r="T23" s="106" t="s">
        <v>127</v>
      </c>
      <c r="U23" s="107"/>
      <c r="V23" s="42" t="s">
        <v>20</v>
      </c>
      <c r="W23" s="57" t="s">
        <v>132</v>
      </c>
      <c r="X23" s="51"/>
      <c r="Y23" s="22"/>
      <c r="Z23" s="23"/>
      <c r="AC23" s="3"/>
      <c r="AK23" s="3"/>
      <c r="AS23" s="3"/>
    </row>
    <row r="24" spans="2:45" ht="17.100000000000001" customHeight="1" x14ac:dyDescent="0.25">
      <c r="B24" s="88">
        <f>IF(DAY(MaiDom1)=1,IF(AND(YEAR(MaiDom1+1)=CalendárioAno,MONTH(MaiDom1+1)=5),MaiDom1+1,""),IF(AND(YEAR(MaiDom1+8)=CalendárioAno,MONTH(MaiDom1+8)=5),MaiDom1+8,""))</f>
        <v>42863</v>
      </c>
      <c r="C24" s="7">
        <f>IF(DAY(MaiDom1)=1,IF(AND(YEAR(MaiDom1+2)=CalendárioAno,MONTH(MaiDom1+2)=5),MaiDom1+2,""),IF(AND(YEAR(MaiDom1+9)=CalendárioAno,MONTH(MaiDom1+9)=5),MaiDom1+9,""))</f>
        <v>42864</v>
      </c>
      <c r="D24" s="7">
        <f>IF(DAY(MaiDom1)=1,IF(AND(YEAR(MaiDom1+3)=CalendárioAno,MONTH(MaiDom1+3)=5),MaiDom1+3,""),IF(AND(YEAR(MaiDom1+10)=CalendárioAno,MONTH(MaiDom1+10)=5),MaiDom1+10,""))</f>
        <v>42865</v>
      </c>
      <c r="E24" s="7">
        <f>IF(DAY(MaiDom1)=1,IF(AND(YEAR(MaiDom1+4)=CalendárioAno,MONTH(MaiDom1+4)=5),MaiDom1+4,""),IF(AND(YEAR(MaiDom1+11)=CalendárioAno,MONTH(MaiDom1+11)=5),MaiDom1+11,""))</f>
        <v>42866</v>
      </c>
      <c r="F24" s="7">
        <f>IF(DAY(MaiDom1)=1,IF(AND(YEAR(MaiDom1+5)=CalendárioAno,MONTH(MaiDom1+5)=5),MaiDom1+5,""),IF(AND(YEAR(MaiDom1+12)=CalendárioAno,MONTH(MaiDom1+12)=5),MaiDom1+12,""))</f>
        <v>42867</v>
      </c>
      <c r="G24" s="36">
        <f>IF(DAY(MaiDom1)=1,IF(AND(YEAR(MaiDom1+6)=CalendárioAno,MONTH(MaiDom1+6)=5),MaiDom1+6,""),IF(AND(YEAR(MaiDom1+13)=CalendárioAno,MONTH(MaiDom1+13)=5),MaiDom1+13,""))</f>
        <v>42868</v>
      </c>
      <c r="H24" s="36">
        <f>IF(DAY(MaiDom1)=1,IF(AND(YEAR(MaiDom1+7)=CalendárioAno,MONTH(MaiDom1+7)=5),MaiDom1+7,""),IF(AND(YEAR(MaiDom1+14)=CalendárioAno,MONTH(MaiDom1+14)=5),MaiDom1+14,""))</f>
        <v>42869</v>
      </c>
      <c r="I24" s="11"/>
      <c r="J24" s="7">
        <f>IF(DAY(JunDom1)=1,IF(AND(YEAR(JunDom1+1)=CalendárioAno,MONTH(JunDom1+1)=6),JunDom1+1,""),IF(AND(YEAR(JunDom1+8)=CalendárioAno,MONTH(JunDom1+8)=6),JunDom1+8,""))</f>
        <v>42891</v>
      </c>
      <c r="K24" s="7">
        <f>IF(DAY(JunDom1)=1,IF(AND(YEAR(JunDom1+2)=CalendárioAno,MONTH(JunDom1+2)=6),JunDom1+2,""),IF(AND(YEAR(JunDom1+9)=CalendárioAno,MONTH(JunDom1+9)=6),JunDom1+9,""))</f>
        <v>42892</v>
      </c>
      <c r="L24" s="7">
        <f>IF(DAY(JunDom1)=1,IF(AND(YEAR(JunDom1+3)=CalendárioAno,MONTH(JunDom1+3)=6),JunDom1+3,""),IF(AND(YEAR(JunDom1+10)=CalendárioAno,MONTH(JunDom1+10)=6),JunDom1+10,""))</f>
        <v>42893</v>
      </c>
      <c r="M24" s="7">
        <f>IF(DAY(JunDom1)=1,IF(AND(YEAR(JunDom1+4)=CalendárioAno,MONTH(JunDom1+4)=6),JunDom1+4,""),IF(AND(YEAR(JunDom1+11)=CalendárioAno,MONTH(JunDom1+11)=6),JunDom1+11,""))</f>
        <v>42894</v>
      </c>
      <c r="N24" s="7">
        <f>IF(DAY(JunDom1)=1,IF(AND(YEAR(JunDom1+5)=CalendárioAno,MONTH(JunDom1+5)=6),JunDom1+5,""),IF(AND(YEAR(JunDom1+12)=CalendárioAno,MONTH(JunDom1+12)=6),JunDom1+12,""))</f>
        <v>42895</v>
      </c>
      <c r="O24" s="36">
        <f>IF(DAY(JunDom1)=1,IF(AND(YEAR(JunDom1+6)=CalendárioAno,MONTH(JunDom1+6)=6),JunDom1+6,""),IF(AND(YEAR(JunDom1+13)=CalendárioAno,MONTH(JunDom1+13)=6),JunDom1+13,""))</f>
        <v>42896</v>
      </c>
      <c r="P24" s="36">
        <f>IF(DAY(JunDom1)=1,IF(AND(YEAR(JunDom1+7)=CalendárioAno,MONTH(JunDom1+7)=6),JunDom1+7,""),IF(AND(YEAR(JunDom1+14)=CalendárioAno,MONTH(JunDom1+14)=6),JunDom1+14,""))</f>
        <v>42897</v>
      </c>
      <c r="Q24" s="3"/>
      <c r="R24" s="52"/>
      <c r="S24" s="44"/>
      <c r="T24" s="106"/>
      <c r="U24" s="107"/>
      <c r="V24" s="42"/>
      <c r="W24" s="41"/>
      <c r="X24" s="52"/>
      <c r="Y24" s="17"/>
      <c r="Z24" s="28"/>
      <c r="AA24" s="10"/>
      <c r="AB24" s="10"/>
      <c r="AC24" s="3"/>
      <c r="AD24" s="10"/>
      <c r="AE24" s="10"/>
      <c r="AF24" s="10"/>
      <c r="AG24" s="10"/>
      <c r="AH24" s="10"/>
      <c r="AI24" s="10"/>
      <c r="AJ24" s="10"/>
      <c r="AK24" s="3"/>
      <c r="AL24" s="10"/>
      <c r="AM24" s="10"/>
      <c r="AN24" s="10"/>
      <c r="AO24" s="10"/>
      <c r="AP24" s="10"/>
      <c r="AQ24" s="10"/>
      <c r="AR24" s="10"/>
      <c r="AS24" s="3"/>
    </row>
    <row r="25" spans="2:45" ht="17.100000000000001" customHeight="1" x14ac:dyDescent="0.25">
      <c r="B25" s="88">
        <f>IF(DAY(MaiDom1)=1,IF(AND(YEAR(MaiDom1+8)=CalendárioAno,MONTH(MaiDom1+8)=5),MaiDom1+8,""),IF(AND(YEAR(MaiDom1+15)=CalendárioAno,MONTH(MaiDom1+15)=5),MaiDom1+15,""))</f>
        <v>42870</v>
      </c>
      <c r="C25" s="7">
        <f>IF(DAY(MaiDom1)=1,IF(AND(YEAR(MaiDom1+9)=CalendárioAno,MONTH(MaiDom1+9)=5),MaiDom1+9,""),IF(AND(YEAR(MaiDom1+16)=CalendárioAno,MONTH(MaiDom1+16)=5),MaiDom1+16,""))</f>
        <v>42871</v>
      </c>
      <c r="D25" s="7">
        <f>IF(DAY(MaiDom1)=1,IF(AND(YEAR(MaiDom1+10)=CalendárioAno,MONTH(MaiDom1+10)=5),MaiDom1+10,""),IF(AND(YEAR(MaiDom1+17)=CalendárioAno,MONTH(MaiDom1+17)=5),MaiDom1+17,""))</f>
        <v>42872</v>
      </c>
      <c r="E25" s="7">
        <f>IF(DAY(MaiDom1)=1,IF(AND(YEAR(MaiDom1+11)=CalendárioAno,MONTH(MaiDom1+11)=5),MaiDom1+11,""),IF(AND(YEAR(MaiDom1+18)=CalendárioAno,MONTH(MaiDom1+18)=5),MaiDom1+18,""))</f>
        <v>42873</v>
      </c>
      <c r="F25" s="7">
        <f>IF(DAY(MaiDom1)=1,IF(AND(YEAR(MaiDom1+12)=CalendárioAno,MONTH(MaiDom1+12)=5),MaiDom1+12,""),IF(AND(YEAR(MaiDom1+19)=CalendárioAno,MONTH(MaiDom1+19)=5),MaiDom1+19,""))</f>
        <v>42874</v>
      </c>
      <c r="G25" s="36">
        <f>IF(DAY(MaiDom1)=1,IF(AND(YEAR(MaiDom1+13)=CalendárioAno,MONTH(MaiDom1+13)=5),MaiDom1+13,""),IF(AND(YEAR(MaiDom1+20)=CalendárioAno,MONTH(MaiDom1+20)=5),MaiDom1+20,""))</f>
        <v>42875</v>
      </c>
      <c r="H25" s="36">
        <f>IF(DAY(MaiDom1)=1,IF(AND(YEAR(MaiDom1+14)=CalendárioAno,MONTH(MaiDom1+14)=5),MaiDom1+14,""),IF(AND(YEAR(MaiDom1+21)=CalendárioAno,MONTH(MaiDom1+21)=5),MaiDom1+21,""))</f>
        <v>42876</v>
      </c>
      <c r="I25" s="7"/>
      <c r="J25" s="7">
        <f>IF(DAY(JunDom1)=1,IF(AND(YEAR(JunDom1+8)=CalendárioAno,MONTH(JunDom1+8)=6),JunDom1+8,""),IF(AND(YEAR(JunDom1+15)=CalendárioAno,MONTH(JunDom1+15)=6),JunDom1+15,""))</f>
        <v>42898</v>
      </c>
      <c r="K25" s="7">
        <f>IF(DAY(JunDom1)=1,IF(AND(YEAR(JunDom1+9)=CalendárioAno,MONTH(JunDom1+9)=6),JunDom1+9,""),IF(AND(YEAR(JunDom1+16)=CalendárioAno,MONTH(JunDom1+16)=6),JunDom1+16,""))</f>
        <v>42899</v>
      </c>
      <c r="L25" s="7">
        <f>IF(DAY(JunDom1)=1,IF(AND(YEAR(JunDom1+10)=CalendárioAno,MONTH(JunDom1+10)=6),JunDom1+10,""),IF(AND(YEAR(JunDom1+17)=CalendárioAno,MONTH(JunDom1+17)=6),JunDom1+17,""))</f>
        <v>42900</v>
      </c>
      <c r="M25" s="7">
        <f>IF(DAY(JunDom1)=1,IF(AND(YEAR(JunDom1+11)=CalendárioAno,MONTH(JunDom1+11)=6),JunDom1+11,""),IF(AND(YEAR(JunDom1+18)=CalendárioAno,MONTH(JunDom1+18)=6),JunDom1+18,""))</f>
        <v>42901</v>
      </c>
      <c r="N25" s="7">
        <f>IF(DAY(JunDom1)=1,IF(AND(YEAR(JunDom1+12)=CalendárioAno,MONTH(JunDom1+12)=6),JunDom1+12,""),IF(AND(YEAR(JunDom1+19)=CalendárioAno,MONTH(JunDom1+19)=6),JunDom1+19,""))</f>
        <v>42902</v>
      </c>
      <c r="O25" s="36">
        <f>IF(DAY(JunDom1)=1,IF(AND(YEAR(JunDom1+13)=CalendárioAno,MONTH(JunDom1+13)=6),JunDom1+13,""),IF(AND(YEAR(JunDom1+20)=CalendárioAno,MONTH(JunDom1+20)=6),JunDom1+20,""))</f>
        <v>42903</v>
      </c>
      <c r="P25" s="36">
        <f>IF(DAY(JunDom1)=1,IF(AND(YEAR(JunDom1+14)=CalendárioAno,MONTH(JunDom1+14)=6),JunDom1+14,""),IF(AND(YEAR(JunDom1+21)=CalendárioAno,MONTH(JunDom1+21)=6),JunDom1+21,""))</f>
        <v>42904</v>
      </c>
      <c r="Q25" s="12"/>
      <c r="R25" s="51"/>
      <c r="S25" s="61"/>
      <c r="T25" s="105" t="s">
        <v>38</v>
      </c>
      <c r="U25" s="105"/>
      <c r="V25" s="54"/>
      <c r="W25" s="54"/>
      <c r="X25" s="51"/>
      <c r="Y25" s="22"/>
      <c r="Z25" s="23"/>
      <c r="AC25" s="3"/>
      <c r="AK25" s="3"/>
      <c r="AS25" s="3"/>
    </row>
    <row r="26" spans="2:45" ht="17.100000000000001" customHeight="1" x14ac:dyDescent="0.25">
      <c r="B26" s="88">
        <f>IF(DAY(MaiDom1)=1,IF(AND(YEAR(MaiDom1+15)=CalendárioAno,MONTH(MaiDom1+15)=5),MaiDom1+15,""),IF(AND(YEAR(MaiDom1+22)=CalendárioAno,MONTH(MaiDom1+22)=5),MaiDom1+22,""))</f>
        <v>42877</v>
      </c>
      <c r="C26" s="7">
        <f>IF(DAY(MaiDom1)=1,IF(AND(YEAR(MaiDom1+16)=CalendárioAno,MONTH(MaiDom1+16)=5),MaiDom1+16,""),IF(AND(YEAR(MaiDom1+23)=CalendárioAno,MONTH(MaiDom1+23)=5),MaiDom1+23,""))</f>
        <v>42878</v>
      </c>
      <c r="D26" s="7">
        <f>IF(DAY(MaiDom1)=1,IF(AND(YEAR(MaiDom1+17)=CalendárioAno,MONTH(MaiDom1+17)=5),MaiDom1+17,""),IF(AND(YEAR(MaiDom1+24)=CalendárioAno,MONTH(MaiDom1+24)=5),MaiDom1+24,""))</f>
        <v>42879</v>
      </c>
      <c r="E26" s="7">
        <f>IF(DAY(MaiDom1)=1,IF(AND(YEAR(MaiDom1+18)=CalendárioAno,MONTH(MaiDom1+18)=5),MaiDom1+18,""),IF(AND(YEAR(MaiDom1+25)=CalendárioAno,MONTH(MaiDom1+25)=5),MaiDom1+25,""))</f>
        <v>42880</v>
      </c>
      <c r="F26" s="7">
        <f>IF(DAY(MaiDom1)=1,IF(AND(YEAR(MaiDom1+19)=CalendárioAno,MONTH(MaiDom1+19)=5),MaiDom1+19,""),IF(AND(YEAR(MaiDom1+26)=CalendárioAno,MONTH(MaiDom1+26)=5),MaiDom1+26,""))</f>
        <v>42881</v>
      </c>
      <c r="G26" s="36">
        <f>IF(DAY(MaiDom1)=1,IF(AND(YEAR(MaiDom1+20)=CalendárioAno,MONTH(MaiDom1+20)=5),MaiDom1+20,""),IF(AND(YEAR(MaiDom1+27)=CalendárioAno,MONTH(MaiDom1+27)=5),MaiDom1+27,""))</f>
        <v>42882</v>
      </c>
      <c r="H26" s="36">
        <f>IF(DAY(MaiDom1)=1,IF(AND(YEAR(MaiDom1+21)=CalendárioAno,MONTH(MaiDom1+21)=5),MaiDom1+21,""),IF(AND(YEAR(MaiDom1+28)=CalendárioAno,MONTH(MaiDom1+28)=5),MaiDom1+28,""))</f>
        <v>42883</v>
      </c>
      <c r="I26" s="7"/>
      <c r="J26" s="7">
        <f>IF(DAY(JunDom1)=1,IF(AND(YEAR(JunDom1+15)=CalendárioAno,MONTH(JunDom1+15)=6),JunDom1+15,""),IF(AND(YEAR(JunDom1+22)=CalendárioAno,MONTH(JunDom1+22)=6),JunDom1+22,""))</f>
        <v>42905</v>
      </c>
      <c r="K26" s="7">
        <f>IF(DAY(JunDom1)=1,IF(AND(YEAR(JunDom1+16)=CalendárioAno,MONTH(JunDom1+16)=6),JunDom1+16,""),IF(AND(YEAR(JunDom1+23)=CalendárioAno,MONTH(JunDom1+23)=6),JunDom1+23,""))</f>
        <v>42906</v>
      </c>
      <c r="L26" s="7">
        <f>IF(DAY(JunDom1)=1,IF(AND(YEAR(JunDom1+17)=CalendárioAno,MONTH(JunDom1+17)=6),JunDom1+17,""),IF(AND(YEAR(JunDom1+24)=CalendárioAno,MONTH(JunDom1+24)=6),JunDom1+24,""))</f>
        <v>42907</v>
      </c>
      <c r="M26" s="7">
        <f>IF(DAY(JunDom1)=1,IF(AND(YEAR(JunDom1+18)=CalendárioAno,MONTH(JunDom1+18)=6),JunDom1+18,""),IF(AND(YEAR(JunDom1+25)=CalendárioAno,MONTH(JunDom1+25)=6),JunDom1+25,""))</f>
        <v>42908</v>
      </c>
      <c r="N26" s="7">
        <f>IF(DAY(JunDom1)=1,IF(AND(YEAR(JunDom1+19)=CalendárioAno,MONTH(JunDom1+19)=6),JunDom1+19,""),IF(AND(YEAR(JunDom1+26)=CalendárioAno,MONTH(JunDom1+26)=6),JunDom1+26,""))</f>
        <v>42909</v>
      </c>
      <c r="O26" s="36">
        <f>IF(DAY(JunDom1)=1,IF(AND(YEAR(JunDom1+20)=CalendárioAno,MONTH(JunDom1+20)=6),JunDom1+20,""),IF(AND(YEAR(JunDom1+27)=CalendárioAno,MONTH(JunDom1+27)=6),JunDom1+27,""))</f>
        <v>42910</v>
      </c>
      <c r="P26" s="36">
        <f>IF(DAY(JunDom1)=1,IF(AND(YEAR(JunDom1+21)=CalendárioAno,MONTH(JunDom1+21)=6),JunDom1+21,""),IF(AND(YEAR(JunDom1+28)=CalendárioAno,MONTH(JunDom1+28)=6),JunDom1+28,""))</f>
        <v>42911</v>
      </c>
      <c r="Q26" s="13"/>
      <c r="R26" s="51"/>
      <c r="S26" s="44" t="s">
        <v>87</v>
      </c>
      <c r="T26" s="106" t="s">
        <v>65</v>
      </c>
      <c r="U26" s="107"/>
      <c r="V26" s="42" t="s">
        <v>86</v>
      </c>
      <c r="W26" s="57" t="s">
        <v>124</v>
      </c>
      <c r="X26" s="51"/>
      <c r="Y26" s="22"/>
      <c r="Z26" s="23"/>
      <c r="AC26" s="3"/>
      <c r="AK26" s="3"/>
      <c r="AS26" s="3"/>
    </row>
    <row r="27" spans="2:45" ht="17.100000000000001" customHeight="1" x14ac:dyDescent="0.25">
      <c r="B27" s="88">
        <f>IF(DAY(MaiDom1)=1,IF(AND(YEAR(MaiDom1+22)=CalendárioAno,MONTH(MaiDom1+22)=5),MaiDom1+22,""),IF(AND(YEAR(MaiDom1+29)=CalendárioAno,MONTH(MaiDom1+29)=5),MaiDom1+29,""))</f>
        <v>42884</v>
      </c>
      <c r="C27" s="7">
        <f>IF(DAY(MaiDom1)=1,IF(AND(YEAR(MaiDom1+23)=CalendárioAno,MONTH(MaiDom1+23)=5),MaiDom1+23,""),IF(AND(YEAR(MaiDom1+30)=CalendárioAno,MONTH(MaiDom1+30)=5),MaiDom1+30,""))</f>
        <v>42885</v>
      </c>
      <c r="D27" s="7">
        <f>IF(DAY(MaiDom1)=1,IF(AND(YEAR(MaiDom1+24)=CalendárioAno,MONTH(MaiDom1+24)=5),MaiDom1+24,""),IF(AND(YEAR(MaiDom1+31)=CalendárioAno,MONTH(MaiDom1+31)=5),MaiDom1+31,""))</f>
        <v>42886</v>
      </c>
      <c r="E27" s="7" t="str">
        <f>IF(DAY(MaiDom1)=1,IF(AND(YEAR(MaiDom1+25)=CalendárioAno,MONTH(MaiDom1+25)=5),MaiDom1+25,""),IF(AND(YEAR(MaiDom1+32)=CalendárioAno,MONTH(MaiDom1+32)=5),MaiDom1+32,""))</f>
        <v/>
      </c>
      <c r="F27" s="7" t="str">
        <f>IF(DAY(MaiDom1)=1,IF(AND(YEAR(MaiDom1+26)=CalendárioAno,MONTH(MaiDom1+26)=5),MaiDom1+26,""),IF(AND(YEAR(MaiDom1+33)=CalendárioAno,MONTH(MaiDom1+33)=5),MaiDom1+33,""))</f>
        <v/>
      </c>
      <c r="G27" s="7" t="str">
        <f>IF(DAY(MaiDom1)=1,IF(AND(YEAR(MaiDom1+27)=CalendárioAno,MONTH(MaiDom1+27)=5),MaiDom1+27,""),IF(AND(YEAR(MaiDom1+34)=CalendárioAno,MONTH(MaiDom1+34)=5),MaiDom1+34,""))</f>
        <v/>
      </c>
      <c r="H27" s="7" t="str">
        <f>IF(DAY(MaiDom1)=1,IF(AND(YEAR(MaiDom1+28)=CalendárioAno,MONTH(MaiDom1+28)=5),MaiDom1+28,""),IF(AND(YEAR(MaiDom1+35)=CalendárioAno,MONTH(MaiDom1+35)=5),MaiDom1+35,""))</f>
        <v/>
      </c>
      <c r="I27" s="7"/>
      <c r="J27" s="7">
        <f>IF(DAY(JunDom1)=1,IF(AND(YEAR(JunDom1+22)=CalendárioAno,MONTH(JunDom1+22)=6),JunDom1+22,""),IF(AND(YEAR(JunDom1+29)=CalendárioAno,MONTH(JunDom1+29)=6),JunDom1+29,""))</f>
        <v>42912</v>
      </c>
      <c r="K27" s="7">
        <f>IF(DAY(JunDom1)=1,IF(AND(YEAR(JunDom1+23)=CalendárioAno,MONTH(JunDom1+23)=6),JunDom1+23,""),IF(AND(YEAR(JunDom1+30)=CalendárioAno,MONTH(JunDom1+30)=6),JunDom1+30,""))</f>
        <v>42913</v>
      </c>
      <c r="L27" s="7">
        <f>IF(DAY(JunDom1)=1,IF(AND(YEAR(JunDom1+24)=CalendárioAno,MONTH(JunDom1+24)=6),JunDom1+24,""),IF(AND(YEAR(JunDom1+31)=CalendárioAno,MONTH(JunDom1+31)=6),JunDom1+31,""))</f>
        <v>42914</v>
      </c>
      <c r="M27" s="7">
        <f>IF(DAY(JunDom1)=1,IF(AND(YEAR(JunDom1+25)=CalendárioAno,MONTH(JunDom1+25)=6),JunDom1+25,""),IF(AND(YEAR(JunDom1+32)=CalendárioAno,MONTH(JunDom1+32)=6),JunDom1+32,""))</f>
        <v>42915</v>
      </c>
      <c r="N27" s="7">
        <f>IF(DAY(JunDom1)=1,IF(AND(YEAR(JunDom1+26)=CalendárioAno,MONTH(JunDom1+26)=6),JunDom1+26,""),IF(AND(YEAR(JunDom1+33)=CalendárioAno,MONTH(JunDom1+33)=6),JunDom1+33,""))</f>
        <v>42916</v>
      </c>
      <c r="O27" s="7" t="str">
        <f>IF(DAY(JunDom1)=1,IF(AND(YEAR(JunDom1+27)=CalendárioAno,MONTH(JunDom1+27)=6),JunDom1+27,""),IF(AND(YEAR(JunDom1+34)=CalendárioAno,MONTH(JunDom1+34)=6),JunDom1+34,""))</f>
        <v/>
      </c>
      <c r="P27" s="7" t="str">
        <f>IF(DAY(JunDom1)=1,IF(AND(YEAR(JunDom1+28)=CalendárioAno,MONTH(JunDom1+28)=6),JunDom1+28,""),IF(AND(YEAR(JunDom1+35)=CalendárioAno,MONTH(JunDom1+35)=6),JunDom1+35,""))</f>
        <v/>
      </c>
      <c r="Q27" s="8"/>
      <c r="R27" s="51"/>
      <c r="S27" s="44"/>
      <c r="T27" s="106"/>
      <c r="U27" s="107"/>
      <c r="V27" s="42"/>
      <c r="W27" s="41"/>
      <c r="X27" s="51"/>
      <c r="Y27" s="22"/>
      <c r="Z27" s="23"/>
      <c r="AC27" s="3"/>
      <c r="AK27" s="3"/>
      <c r="AS27" s="3"/>
    </row>
    <row r="28" spans="2:45" ht="17.100000000000001" customHeight="1" x14ac:dyDescent="0.25">
      <c r="B28" s="91" t="str">
        <f>IF(DAY(MaiDom1)=1,IF(AND(YEAR(MaiDom1+29)=CalendárioAno,MONTH(MaiDom1+29)=5),MaiDom1+29,""),IF(AND(YEAR(MaiDom1+36)=CalendárioAno,MONTH(MaiDom1+36)=5),MaiDom1+36,""))</f>
        <v/>
      </c>
      <c r="C28" s="16" t="str">
        <f>IF(DAY(MaiDom1)=1,IF(AND(YEAR(MaiDom1+30)=CalendárioAno,MONTH(MaiDom1+30)=5),MaiDom1+30,""),IF(AND(YEAR(MaiDom1+37)=CalendárioAno,MONTH(MaiDom1+37)=5),MaiDom1+37,""))</f>
        <v/>
      </c>
      <c r="D28" s="16" t="str">
        <f>IF(DAY(MaiDom1)=1,IF(AND(YEAR(MaiDom1+31)=CalendárioAno,MONTH(MaiDom1+31)=5),MaiDom1+31,""),IF(AND(YEAR(MaiDom1+38)=CalendárioAno,MONTH(MaiDom1+38)=5),MaiDom1+38,""))</f>
        <v/>
      </c>
      <c r="E28" s="16" t="str">
        <f>IF(DAY(MaiDom1)=1,IF(AND(YEAR(MaiDom1+32)=CalendárioAno,MONTH(MaiDom1+32)=5),MaiDom1+32,""),IF(AND(YEAR(MaiDom1+39)=CalendárioAno,MONTH(MaiDom1+39)=5),MaiDom1+39,""))</f>
        <v/>
      </c>
      <c r="F28" s="16" t="str">
        <f>IF(DAY(MaiDom1)=1,IF(AND(YEAR(MaiDom1+33)=CalendárioAno,MONTH(MaiDom1+33)=5),MaiDom1+33,""),IF(AND(YEAR(MaiDom1+40)=CalendárioAno,MONTH(MaiDom1+40)=5),MaiDom1+40,""))</f>
        <v/>
      </c>
      <c r="G28" s="16" t="str">
        <f>IF(DAY(MaiDom1)=1,IF(AND(YEAR(MaiDom1+34)=CalendárioAno,MONTH(MaiDom1+34)=5),MaiDom1+34,""),IF(AND(YEAR(MaiDom1+41)=CalendárioAno,MONTH(MaiDom1+41)=5),MaiDom1+41,""))</f>
        <v/>
      </c>
      <c r="H28" s="16" t="str">
        <f>IF(DAY(MaiDom1)=1,IF(AND(YEAR(MaiDom1+35)=CalendárioAno,MONTH(MaiDom1+35)=5),MaiDom1+35,""),IF(AND(YEAR(MaiDom1+42)=CalendárioAno,MONTH(MaiDom1+42)=5),MaiDom1+42,""))</f>
        <v/>
      </c>
      <c r="I28" s="16"/>
      <c r="J28" s="16" t="str">
        <f>IF(DAY(JunDom1)=1,IF(AND(YEAR(JunDom1+29)=CalendárioAno,MONTH(JunDom1+29)=6),JunDom1+29,""),IF(AND(YEAR(JunDom1+36)=CalendárioAno,MONTH(JunDom1+36)=6),JunDom1+36,""))</f>
        <v/>
      </c>
      <c r="K28" s="16" t="str">
        <f>IF(DAY(JunDom1)=1,IF(AND(YEAR(JunDom1+30)=CalendárioAno,MONTH(JunDom1+30)=6),JunDom1+30,""),IF(AND(YEAR(JunDom1+37)=CalendárioAno,MONTH(JunDom1+37)=6),JunDom1+37,""))</f>
        <v/>
      </c>
      <c r="L28" s="16" t="str">
        <f>IF(DAY(JunDom1)=1,IF(AND(YEAR(JunDom1+31)=CalendárioAno,MONTH(JunDom1+31)=6),JunDom1+31,""),IF(AND(YEAR(JunDom1+38)=CalendárioAno,MONTH(JunDom1+38)=6),JunDom1+38,""))</f>
        <v/>
      </c>
      <c r="M28" s="16" t="str">
        <f>IF(DAY(JunDom1)=1,IF(AND(YEAR(JunDom1+32)=CalendárioAno,MONTH(JunDom1+32)=6),JunDom1+32,""),IF(AND(YEAR(JunDom1+39)=CalendárioAno,MONTH(JunDom1+39)=6),JunDom1+39,""))</f>
        <v/>
      </c>
      <c r="N28" s="16" t="str">
        <f>IF(DAY(JunDom1)=1,IF(AND(YEAR(JunDom1+33)=CalendárioAno,MONTH(JunDom1+33)=6),JunDom1+33,""),IF(AND(YEAR(JunDom1+40)=CalendárioAno,MONTH(JunDom1+40)=6),JunDom1+40,""))</f>
        <v/>
      </c>
      <c r="O28" s="16" t="str">
        <f>IF(DAY(JunDom1)=1,IF(AND(YEAR(JunDom1+34)=CalendárioAno,MONTH(JunDom1+34)=6),JunDom1+34,""),IF(AND(YEAR(JunDom1+41)=CalendárioAno,MONTH(JunDom1+41)=6),JunDom1+41,""))</f>
        <v/>
      </c>
      <c r="P28" s="16" t="str">
        <f>IF(DAY(JunDom1)=1,IF(AND(YEAR(JunDom1+35)=CalendárioAno,MONTH(JunDom1+35)=6),JunDom1+35,""),IF(AND(YEAR(JunDom1+42)=CalendárioAno,MONTH(JunDom1+42)=6),JunDom1+42,""))</f>
        <v/>
      </c>
      <c r="Q28" s="3"/>
      <c r="R28" s="51"/>
      <c r="S28" s="44"/>
      <c r="T28" s="106"/>
      <c r="U28" s="107"/>
      <c r="V28" s="42"/>
      <c r="W28" s="41"/>
      <c r="X28" s="51"/>
      <c r="Y28" s="22"/>
      <c r="Z28" s="23"/>
      <c r="AC28" s="3"/>
      <c r="AK28" s="3"/>
      <c r="AS28" s="3"/>
    </row>
    <row r="29" spans="2:45" ht="17.100000000000001" customHeight="1" x14ac:dyDescent="0.25">
      <c r="B29" s="92"/>
      <c r="C29" s="27"/>
      <c r="D29" s="27"/>
      <c r="E29" s="27"/>
      <c r="F29" s="27"/>
      <c r="G29" s="27"/>
      <c r="H29" s="27"/>
      <c r="I29" s="16"/>
      <c r="J29" s="27"/>
      <c r="K29" s="27"/>
      <c r="L29" s="27"/>
      <c r="M29" s="27"/>
      <c r="N29" s="27"/>
      <c r="O29" s="27"/>
      <c r="P29" s="27"/>
      <c r="Q29" s="3"/>
      <c r="R29" s="51"/>
      <c r="S29" s="44" t="s">
        <v>72</v>
      </c>
      <c r="T29" s="106" t="s">
        <v>66</v>
      </c>
      <c r="U29" s="107"/>
      <c r="V29" s="42" t="s">
        <v>73</v>
      </c>
      <c r="W29" s="57" t="s">
        <v>92</v>
      </c>
      <c r="X29" s="51"/>
      <c r="Y29" s="22"/>
      <c r="Z29" s="23"/>
      <c r="AC29" s="3"/>
      <c r="AK29" s="3"/>
      <c r="AS29" s="3"/>
    </row>
    <row r="30" spans="2:45" ht="17.100000000000001" customHeight="1" x14ac:dyDescent="0.25">
      <c r="B30" s="89" t="s">
        <v>2</v>
      </c>
      <c r="C30" s="60"/>
      <c r="D30" s="60"/>
      <c r="E30" s="4"/>
      <c r="F30" s="4"/>
      <c r="G30" s="4"/>
      <c r="H30" s="4"/>
      <c r="I30" s="16"/>
      <c r="J30" s="60" t="s">
        <v>3</v>
      </c>
      <c r="K30" s="60"/>
      <c r="L30" s="60"/>
      <c r="M30" s="4"/>
      <c r="N30" s="4"/>
      <c r="O30" s="4"/>
      <c r="P30" s="4"/>
      <c r="Q30" s="3"/>
      <c r="R30" s="51"/>
      <c r="S30" s="44" t="s">
        <v>72</v>
      </c>
      <c r="T30" s="106" t="s">
        <v>121</v>
      </c>
      <c r="U30" s="107"/>
      <c r="V30" s="42" t="s">
        <v>73</v>
      </c>
      <c r="W30" s="57" t="s">
        <v>93</v>
      </c>
      <c r="X30" s="51"/>
      <c r="Y30" s="22"/>
      <c r="Z30" s="23"/>
      <c r="AC30" s="3"/>
      <c r="AK30" s="3"/>
      <c r="AS30" s="3"/>
    </row>
    <row r="31" spans="2:45" ht="17.100000000000001" customHeight="1" x14ac:dyDescent="0.25">
      <c r="B31" s="87" t="s">
        <v>77</v>
      </c>
      <c r="C31" s="6" t="s">
        <v>78</v>
      </c>
      <c r="D31" s="6" t="s">
        <v>79</v>
      </c>
      <c r="E31" s="6" t="s">
        <v>79</v>
      </c>
      <c r="F31" s="6" t="s">
        <v>77</v>
      </c>
      <c r="G31" s="6" t="s">
        <v>77</v>
      </c>
      <c r="H31" s="6" t="s">
        <v>80</v>
      </c>
      <c r="I31" s="19"/>
      <c r="J31" s="6" t="s">
        <v>77</v>
      </c>
      <c r="K31" s="6" t="s">
        <v>78</v>
      </c>
      <c r="L31" s="6" t="s">
        <v>79</v>
      </c>
      <c r="M31" s="6" t="s">
        <v>79</v>
      </c>
      <c r="N31" s="6" t="s">
        <v>77</v>
      </c>
      <c r="O31" s="6" t="s">
        <v>77</v>
      </c>
      <c r="P31" s="6" t="s">
        <v>80</v>
      </c>
      <c r="Q31" s="3"/>
      <c r="R31" s="51"/>
      <c r="S31" s="61"/>
      <c r="T31" s="105" t="s">
        <v>39</v>
      </c>
      <c r="U31" s="105"/>
      <c r="V31" s="54"/>
      <c r="W31" s="54"/>
      <c r="X31" s="51"/>
      <c r="Y31" s="22"/>
      <c r="Z31" s="23"/>
      <c r="AC31" s="3"/>
      <c r="AK31" s="3"/>
      <c r="AS31" s="3"/>
    </row>
    <row r="32" spans="2:45" ht="17.100000000000001" customHeight="1" x14ac:dyDescent="0.25">
      <c r="B32" s="88" t="str">
        <f>IF(DAY(JulDom1)=1,"",IF(AND(YEAR(JulDom1+1)=CalendárioAno,MONTH(JulDom1+1)=7),JulDom1+1,""))</f>
        <v/>
      </c>
      <c r="C32" s="7" t="str">
        <f>IF(DAY(JulDom1)=1,"",IF(AND(YEAR(JulDom1+2)=CalendárioAno,MONTH(JulDom1+2)=7),JulDom1+2,""))</f>
        <v/>
      </c>
      <c r="D32" s="7" t="str">
        <f>IF(DAY(JulDom1)=1,"",IF(AND(YEAR(JulDom1+3)=CalendárioAno,MONTH(JulDom1+3)=7),JulDom1+3,""))</f>
        <v/>
      </c>
      <c r="E32" s="7" t="str">
        <f>IF(DAY(JulDom1)=1,"",IF(AND(YEAR(JulDom1+4)=CalendárioAno,MONTH(JulDom1+4)=7),JulDom1+4,""))</f>
        <v/>
      </c>
      <c r="F32" s="7" t="str">
        <f>IF(DAY(JulDom1)=1,"",IF(AND(YEAR(JulDom1+5)=CalendárioAno,MONTH(JulDom1+5)=7),JulDom1+5,""))</f>
        <v/>
      </c>
      <c r="G32" s="36">
        <f>IF(DAY(JulDom1)=1,"",IF(AND(YEAR(JulDom1+6)=CalendárioAno,MONTH(JulDom1+6)=7),JulDom1+6,""))</f>
        <v>42917</v>
      </c>
      <c r="H32" s="36">
        <f>IF(DAY(JulDom1)=1,IF(AND(YEAR(JulDom1)=CalendárioAno,MONTH(JulDom1)=7),JulDom1,""),IF(AND(YEAR(JulDom1+7)=CalendárioAno,MONTH(JulDom1+7)=7),JulDom1+7,""))</f>
        <v>42918</v>
      </c>
      <c r="I32" s="64"/>
      <c r="J32" s="7" t="str">
        <f>IF(DAY(AgoDom1)=1,"",IF(AND(YEAR(AgoDom1+1)=CalendárioAno,MONTH(AgoDom1+1)=8),AgoDom1+1,""))</f>
        <v/>
      </c>
      <c r="K32" s="7">
        <f>IF(DAY(AgoDom1)=1,"",IF(AND(YEAR(AgoDom1+2)=CalendárioAno,MONTH(AgoDom1+2)=8),AgoDom1+2,""))</f>
        <v>42948</v>
      </c>
      <c r="L32" s="7">
        <f>IF(DAY(AgoDom1)=1,"",IF(AND(YEAR(AgoDom1+3)=CalendárioAno,MONTH(AgoDom1+3)=8),AgoDom1+3,""))</f>
        <v>42949</v>
      </c>
      <c r="M32" s="7">
        <f>IF(DAY(AgoDom1)=1,"",IF(AND(YEAR(AgoDom1+4)=CalendárioAno,MONTH(AgoDom1+4)=8),AgoDom1+4,""))</f>
        <v>42950</v>
      </c>
      <c r="N32" s="7">
        <f>IF(DAY(AgoDom1)=1,"",IF(AND(YEAR(AgoDom1+5)=CalendárioAno,MONTH(AgoDom1+5)=8),AgoDom1+5,""))</f>
        <v>42951</v>
      </c>
      <c r="O32" s="36">
        <f>IF(DAY(AgoDom1)=1,"",IF(AND(YEAR(AgoDom1+6)=CalendárioAno,MONTH(AgoDom1+6)=8),AgoDom1+6,""))</f>
        <v>42952</v>
      </c>
      <c r="P32" s="36">
        <f>IF(DAY(AgoDom1)=1,IF(AND(YEAR(AgoDom1)=CalendárioAno,MONTH(AgoDom1)=8),AgoDom1,""),IF(AND(YEAR(AgoDom1+7)=CalendárioAno,MONTH(AgoDom1+7)=8),AgoDom1+7,""))</f>
        <v>42953</v>
      </c>
      <c r="Q32" s="21"/>
      <c r="R32" s="51"/>
      <c r="S32" s="44"/>
      <c r="T32" s="106"/>
      <c r="U32" s="107"/>
      <c r="V32" s="42"/>
      <c r="W32" s="41"/>
      <c r="X32" s="51"/>
      <c r="Y32" s="5"/>
      <c r="Z32" s="24"/>
      <c r="AA32" s="3"/>
      <c r="AB32" s="3"/>
      <c r="AC32" s="3"/>
      <c r="AK32" s="3"/>
      <c r="AS32" s="3"/>
    </row>
    <row r="33" spans="2:26" ht="17.100000000000001" customHeight="1" x14ac:dyDescent="0.25">
      <c r="B33" s="88">
        <f>IF(DAY(JulDom1)=1,IF(AND(YEAR(JulDom1+1)=CalendárioAno,MONTH(JulDom1+1)=7),JulDom1+1,""),IF(AND(YEAR(JulDom1+8)=CalendárioAno,MONTH(JulDom1+8)=7),JulDom1+8,""))</f>
        <v>42919</v>
      </c>
      <c r="C33" s="7">
        <f>IF(DAY(JulDom1)=1,IF(AND(YEAR(JulDom1+2)=CalendárioAno,MONTH(JulDom1+2)=7),JulDom1+2,""),IF(AND(YEAR(JulDom1+9)=CalendárioAno,MONTH(JulDom1+9)=7),JulDom1+9,""))</f>
        <v>42920</v>
      </c>
      <c r="D33" s="7">
        <f>IF(DAY(JulDom1)=1,IF(AND(YEAR(JulDom1+3)=CalendárioAno,MONTH(JulDom1+3)=7),JulDom1+3,""),IF(AND(YEAR(JulDom1+10)=CalendárioAno,MONTH(JulDom1+10)=7),JulDom1+10,""))</f>
        <v>42921</v>
      </c>
      <c r="E33" s="7">
        <f>IF(DAY(JulDom1)=1,IF(AND(YEAR(JulDom1+4)=CalendárioAno,MONTH(JulDom1+4)=7),JulDom1+4,""),IF(AND(YEAR(JulDom1+11)=CalendárioAno,MONTH(JulDom1+11)=7),JulDom1+11,""))</f>
        <v>42922</v>
      </c>
      <c r="F33" s="7">
        <f>IF(DAY(JulDom1)=1,IF(AND(YEAR(JulDom1+5)=CalendárioAno,MONTH(JulDom1+5)=7),JulDom1+5,""),IF(AND(YEAR(JulDom1+12)=CalendárioAno,MONTH(JulDom1+12)=7),JulDom1+12,""))</f>
        <v>42923</v>
      </c>
      <c r="G33" s="36">
        <f>IF(DAY(JulDom1)=1,IF(AND(YEAR(JulDom1+6)=CalendárioAno,MONTH(JulDom1+6)=7),JulDom1+6,""),IF(AND(YEAR(JulDom1+13)=CalendárioAno,MONTH(JulDom1+13)=7),JulDom1+13,""))</f>
        <v>42924</v>
      </c>
      <c r="H33" s="36">
        <f>IF(DAY(JulDom1)=1,IF(AND(YEAR(JulDom1+7)=CalendárioAno,MONTH(JulDom1+7)=7),JulDom1+7,""),IF(AND(YEAR(JulDom1+14)=CalendárioAno,MONTH(JulDom1+14)=7),JulDom1+14,""))</f>
        <v>42925</v>
      </c>
      <c r="I33" s="30"/>
      <c r="J33" s="7">
        <f>IF(DAY(AgoDom1)=1,IF(AND(YEAR(AgoDom1+1)=CalendárioAno,MONTH(AgoDom1+1)=8),AgoDom1+1,""),IF(AND(YEAR(AgoDom1+8)=CalendárioAno,MONTH(AgoDom1+8)=8),AgoDom1+8,""))</f>
        <v>42954</v>
      </c>
      <c r="K33" s="7">
        <f>IF(DAY(AgoDom1)=1,IF(AND(YEAR(AgoDom1+2)=CalendárioAno,MONTH(AgoDom1+2)=8),AgoDom1+2,""),IF(AND(YEAR(AgoDom1+9)=CalendárioAno,MONTH(AgoDom1+9)=8),AgoDom1+9,""))</f>
        <v>42955</v>
      </c>
      <c r="L33" s="7">
        <f>IF(DAY(AgoDom1)=1,IF(AND(YEAR(AgoDom1+3)=CalendárioAno,MONTH(AgoDom1+3)=8),AgoDom1+3,""),IF(AND(YEAR(AgoDom1+10)=CalendárioAno,MONTH(AgoDom1+10)=8),AgoDom1+10,""))</f>
        <v>42956</v>
      </c>
      <c r="M33" s="7">
        <f>IF(DAY(AgoDom1)=1,IF(AND(YEAR(AgoDom1+4)=CalendárioAno,MONTH(AgoDom1+4)=8),AgoDom1+4,""),IF(AND(YEAR(AgoDom1+11)=CalendárioAno,MONTH(AgoDom1+11)=8),AgoDom1+11,""))</f>
        <v>42957</v>
      </c>
      <c r="N33" s="7">
        <f>IF(DAY(AgoDom1)=1,IF(AND(YEAR(AgoDom1+5)=CalendárioAno,MONTH(AgoDom1+5)=8),AgoDom1+5,""),IF(AND(YEAR(AgoDom1+12)=CalendárioAno,MONTH(AgoDom1+12)=8),AgoDom1+12,""))</f>
        <v>42958</v>
      </c>
      <c r="O33" s="36">
        <f>IF(DAY(AgoDom1)=1,IF(AND(YEAR(AgoDom1+6)=CalendárioAno,MONTH(AgoDom1+6)=8),AgoDom1+6,""),IF(AND(YEAR(AgoDom1+13)=CalendárioAno,MONTH(AgoDom1+13)=8),AgoDom1+13,""))</f>
        <v>42959</v>
      </c>
      <c r="P33" s="36">
        <f>IF(DAY(AgoDom1)=1,IF(AND(YEAR(AgoDom1+7)=CalendárioAno,MONTH(AgoDom1+7)=8),AgoDom1+7,""),IF(AND(YEAR(AgoDom1+14)=CalendárioAno,MONTH(AgoDom1+14)=8),AgoDom1+14,""))</f>
        <v>42960</v>
      </c>
      <c r="Q33" s="21"/>
      <c r="R33" s="51"/>
      <c r="S33" s="44"/>
      <c r="T33" s="106"/>
      <c r="U33" s="107"/>
      <c r="V33" s="42"/>
      <c r="W33" s="41"/>
      <c r="X33" s="51"/>
      <c r="Y33" s="22"/>
      <c r="Z33" s="23"/>
    </row>
    <row r="34" spans="2:26" ht="17.100000000000001" customHeight="1" x14ac:dyDescent="0.25">
      <c r="B34" s="88">
        <f>IF(DAY(JulDom1)=1,IF(AND(YEAR(JulDom1+8)=CalendárioAno,MONTH(JulDom1+8)=7),JulDom1+8,""),IF(AND(YEAR(JulDom1+15)=CalendárioAno,MONTH(JulDom1+15)=7),JulDom1+15,""))</f>
        <v>42926</v>
      </c>
      <c r="C34" s="7">
        <f>IF(DAY(JulDom1)=1,IF(AND(YEAR(JulDom1+9)=CalendárioAno,MONTH(JulDom1+9)=7),JulDom1+9,""),IF(AND(YEAR(JulDom1+16)=CalendárioAno,MONTH(JulDom1+16)=7),JulDom1+16,""))</f>
        <v>42927</v>
      </c>
      <c r="D34" s="7">
        <f>IF(DAY(JulDom1)=1,IF(AND(YEAR(JulDom1+10)=CalendárioAno,MONTH(JulDom1+10)=7),JulDom1+10,""),IF(AND(YEAR(JulDom1+17)=CalendárioAno,MONTH(JulDom1+17)=7),JulDom1+17,""))</f>
        <v>42928</v>
      </c>
      <c r="E34" s="7">
        <f>IF(DAY(JulDom1)=1,IF(AND(YEAR(JulDom1+11)=CalendárioAno,MONTH(JulDom1+11)=7),JulDom1+11,""),IF(AND(YEAR(JulDom1+18)=CalendárioAno,MONTH(JulDom1+18)=7),JulDom1+18,""))</f>
        <v>42929</v>
      </c>
      <c r="F34" s="7">
        <f>IF(DAY(JulDom1)=1,IF(AND(YEAR(JulDom1+12)=CalendárioAno,MONTH(JulDom1+12)=7),JulDom1+12,""),IF(AND(YEAR(JulDom1+19)=CalendárioAno,MONTH(JulDom1+19)=7),JulDom1+19,""))</f>
        <v>42930</v>
      </c>
      <c r="G34" s="36">
        <f>IF(DAY(JulDom1)=1,IF(AND(YEAR(JulDom1+13)=CalendárioAno,MONTH(JulDom1+13)=7),JulDom1+13,""),IF(AND(YEAR(JulDom1+20)=CalendárioAno,MONTH(JulDom1+20)=7),JulDom1+20,""))</f>
        <v>42931</v>
      </c>
      <c r="H34" s="36">
        <f>IF(DAY(JulDom1)=1,IF(AND(YEAR(JulDom1+14)=CalendárioAno,MONTH(JulDom1+14)=7),JulDom1+14,""),IF(AND(YEAR(JulDom1+21)=CalendárioAno,MONTH(JulDom1+21)=7),JulDom1+21,""))</f>
        <v>42932</v>
      </c>
      <c r="I34" s="30"/>
      <c r="J34" s="7">
        <f>IF(DAY(AgoDom1)=1,IF(AND(YEAR(AgoDom1+8)=CalendárioAno,MONTH(AgoDom1+8)=8),AgoDom1+8,""),IF(AND(YEAR(AgoDom1+15)=CalendárioAno,MONTH(AgoDom1+15)=8),AgoDom1+15,""))</f>
        <v>42961</v>
      </c>
      <c r="K34" s="7">
        <f>IF(DAY(AgoDom1)=1,IF(AND(YEAR(AgoDom1+9)=CalendárioAno,MONTH(AgoDom1+9)=8),AgoDom1+9,""),IF(AND(YEAR(AgoDom1+16)=CalendárioAno,MONTH(AgoDom1+16)=8),AgoDom1+16,""))</f>
        <v>42962</v>
      </c>
      <c r="L34" s="7">
        <f>IF(DAY(AgoDom1)=1,IF(AND(YEAR(AgoDom1+10)=CalendárioAno,MONTH(AgoDom1+10)=8),AgoDom1+10,""),IF(AND(YEAR(AgoDom1+17)=CalendárioAno,MONTH(AgoDom1+17)=8),AgoDom1+17,""))</f>
        <v>42963</v>
      </c>
      <c r="M34" s="7">
        <f>IF(DAY(AgoDom1)=1,IF(AND(YEAR(AgoDom1+11)=CalendárioAno,MONTH(AgoDom1+11)=8),AgoDom1+11,""),IF(AND(YEAR(AgoDom1+18)=CalendárioAno,MONTH(AgoDom1+18)=8),AgoDom1+18,""))</f>
        <v>42964</v>
      </c>
      <c r="N34" s="7">
        <f>IF(DAY(AgoDom1)=1,IF(AND(YEAR(AgoDom1+12)=CalendárioAno,MONTH(AgoDom1+12)=8),AgoDom1+12,""),IF(AND(YEAR(AgoDom1+19)=CalendárioAno,MONTH(AgoDom1+19)=8),AgoDom1+19,""))</f>
        <v>42965</v>
      </c>
      <c r="O34" s="36">
        <f>IF(DAY(AgoDom1)=1,IF(AND(YEAR(AgoDom1+13)=CalendárioAno,MONTH(AgoDom1+13)=8),AgoDom1+13,""),IF(AND(YEAR(AgoDom1+20)=CalendárioAno,MONTH(AgoDom1+20)=8),AgoDom1+20,""))</f>
        <v>42966</v>
      </c>
      <c r="P34" s="36">
        <f>IF(DAY(AgoDom1)=1,IF(AND(YEAR(AgoDom1+14)=CalendárioAno,MONTH(AgoDom1+14)=8),AgoDom1+14,""),IF(AND(YEAR(AgoDom1+21)=CalendárioAno,MONTH(AgoDom1+21)=8),AgoDom1+21,""))</f>
        <v>42967</v>
      </c>
      <c r="Q34" s="21"/>
      <c r="R34" s="51"/>
      <c r="S34" s="44" t="s">
        <v>89</v>
      </c>
      <c r="T34" s="106" t="s">
        <v>90</v>
      </c>
      <c r="U34" s="107"/>
      <c r="V34" s="42" t="s">
        <v>71</v>
      </c>
      <c r="W34" s="41"/>
      <c r="X34" s="51"/>
      <c r="Y34" s="22"/>
      <c r="Z34" s="23"/>
    </row>
    <row r="35" spans="2:26" ht="17.100000000000001" customHeight="1" x14ac:dyDescent="0.25">
      <c r="B35" s="88">
        <f>IF(DAY(JulDom1)=1,IF(AND(YEAR(JulDom1+15)=CalendárioAno,MONTH(JulDom1+15)=7),JulDom1+15,""),IF(AND(YEAR(JulDom1+22)=CalendárioAno,MONTH(JulDom1+22)=7),JulDom1+22,""))</f>
        <v>42933</v>
      </c>
      <c r="C35" s="7">
        <f>IF(DAY(JulDom1)=1,IF(AND(YEAR(JulDom1+16)=CalendárioAno,MONTH(JulDom1+16)=7),JulDom1+16,""),IF(AND(YEAR(JulDom1+23)=CalendárioAno,MONTH(JulDom1+23)=7),JulDom1+23,""))</f>
        <v>42934</v>
      </c>
      <c r="D35" s="7">
        <f>IF(DAY(JulDom1)=1,IF(AND(YEAR(JulDom1+17)=CalendárioAno,MONTH(JulDom1+17)=7),JulDom1+17,""),IF(AND(YEAR(JulDom1+24)=CalendárioAno,MONTH(JulDom1+24)=7),JulDom1+24,""))</f>
        <v>42935</v>
      </c>
      <c r="E35" s="7">
        <f>IF(DAY(JulDom1)=1,IF(AND(YEAR(JulDom1+18)=CalendárioAno,MONTH(JulDom1+18)=7),JulDom1+18,""),IF(AND(YEAR(JulDom1+25)=CalendárioAno,MONTH(JulDom1+25)=7),JulDom1+25,""))</f>
        <v>42936</v>
      </c>
      <c r="F35" s="7">
        <f>IF(DAY(JulDom1)=1,IF(AND(YEAR(JulDom1+19)=CalendárioAno,MONTH(JulDom1+19)=7),JulDom1+19,""),IF(AND(YEAR(JulDom1+26)=CalendárioAno,MONTH(JulDom1+26)=7),JulDom1+26,""))</f>
        <v>42937</v>
      </c>
      <c r="G35" s="36">
        <f>IF(DAY(JulDom1)=1,IF(AND(YEAR(JulDom1+20)=CalendárioAno,MONTH(JulDom1+20)=7),JulDom1+20,""),IF(AND(YEAR(JulDom1+27)=CalendárioAno,MONTH(JulDom1+27)=7),JulDom1+27,""))</f>
        <v>42938</v>
      </c>
      <c r="H35" s="36">
        <f>IF(DAY(JulDom1)=1,IF(AND(YEAR(JulDom1+21)=CalendárioAno,MONTH(JulDom1+21)=7),JulDom1+21,""),IF(AND(YEAR(JulDom1+28)=CalendárioAno,MONTH(JulDom1+28)=7),JulDom1+28,""))</f>
        <v>42939</v>
      </c>
      <c r="I35" s="30"/>
      <c r="J35" s="7">
        <f>IF(DAY(AgoDom1)=1,IF(AND(YEAR(AgoDom1+15)=CalendárioAno,MONTH(AgoDom1+15)=8),AgoDom1+15,""),IF(AND(YEAR(AgoDom1+22)=CalendárioAno,MONTH(AgoDom1+22)=8),AgoDom1+22,""))</f>
        <v>42968</v>
      </c>
      <c r="K35" s="7">
        <f>IF(DAY(AgoDom1)=1,IF(AND(YEAR(AgoDom1+16)=CalendárioAno,MONTH(AgoDom1+16)=8),AgoDom1+16,""),IF(AND(YEAR(AgoDom1+23)=CalendárioAno,MONTH(AgoDom1+23)=8),AgoDom1+23,""))</f>
        <v>42969</v>
      </c>
      <c r="L35" s="7">
        <f>IF(DAY(AgoDom1)=1,IF(AND(YEAR(AgoDom1+17)=CalendárioAno,MONTH(AgoDom1+17)=8),AgoDom1+17,""),IF(AND(YEAR(AgoDom1+24)=CalendárioAno,MONTH(AgoDom1+24)=8),AgoDom1+24,""))</f>
        <v>42970</v>
      </c>
      <c r="M35" s="7">
        <f>IF(DAY(AgoDom1)=1,IF(AND(YEAR(AgoDom1+18)=CalendárioAno,MONTH(AgoDom1+18)=8),AgoDom1+18,""),IF(AND(YEAR(AgoDom1+25)=CalendárioAno,MONTH(AgoDom1+25)=8),AgoDom1+25,""))</f>
        <v>42971</v>
      </c>
      <c r="N35" s="7">
        <f>IF(DAY(AgoDom1)=1,IF(AND(YEAR(AgoDom1+19)=CalendárioAno,MONTH(AgoDom1+19)=8),AgoDom1+19,""),IF(AND(YEAR(AgoDom1+26)=CalendárioAno,MONTH(AgoDom1+26)=8),AgoDom1+26,""))</f>
        <v>42972</v>
      </c>
      <c r="O35" s="36">
        <f>IF(DAY(AgoDom1)=1,IF(AND(YEAR(AgoDom1+20)=CalendárioAno,MONTH(AgoDom1+20)=8),AgoDom1+20,""),IF(AND(YEAR(AgoDom1+27)=CalendárioAno,MONTH(AgoDom1+27)=8),AgoDom1+27,""))</f>
        <v>42973</v>
      </c>
      <c r="P35" s="36">
        <f>IF(DAY(AgoDom1)=1,IF(AND(YEAR(AgoDom1+21)=CalendárioAno,MONTH(AgoDom1+21)=8),AgoDom1+21,""),IF(AND(YEAR(AgoDom1+28)=CalendárioAno,MONTH(AgoDom1+28)=8),AgoDom1+28,""))</f>
        <v>42974</v>
      </c>
      <c r="Q35" s="21"/>
      <c r="R35" s="51"/>
      <c r="S35" s="44"/>
      <c r="T35" s="106"/>
      <c r="U35" s="107"/>
      <c r="V35" s="42"/>
      <c r="W35" s="41"/>
      <c r="X35" s="51"/>
      <c r="Y35" s="22"/>
      <c r="Z35" s="23"/>
    </row>
    <row r="36" spans="2:26" ht="17.100000000000001" customHeight="1" x14ac:dyDescent="0.25">
      <c r="B36" s="88">
        <f>IF(DAY(JulDom1)=1,IF(AND(YEAR(JulDom1+22)=CalendárioAno,MONTH(JulDom1+22)=7),JulDom1+22,""),IF(AND(YEAR(JulDom1+29)=CalendárioAno,MONTH(JulDom1+29)=7),JulDom1+29,""))</f>
        <v>42940</v>
      </c>
      <c r="C36" s="7">
        <f>IF(DAY(JulDom1)=1,IF(AND(YEAR(JulDom1+23)=CalendárioAno,MONTH(JulDom1+23)=7),JulDom1+23,""),IF(AND(YEAR(JulDom1+30)=CalendárioAno,MONTH(JulDom1+30)=7),JulDom1+30,""))</f>
        <v>42941</v>
      </c>
      <c r="D36" s="7">
        <f>IF(DAY(JulDom1)=1,IF(AND(YEAR(JulDom1+24)=CalendárioAno,MONTH(JulDom1+24)=7),JulDom1+24,""),IF(AND(YEAR(JulDom1+31)=CalendárioAno,MONTH(JulDom1+31)=7),JulDom1+31,""))</f>
        <v>42942</v>
      </c>
      <c r="E36" s="7">
        <f>IF(DAY(JulDom1)=1,IF(AND(YEAR(JulDom1+25)=CalendárioAno,MONTH(JulDom1+25)=7),JulDom1+25,""),IF(AND(YEAR(JulDom1+32)=CalendárioAno,MONTH(JulDom1+32)=7),JulDom1+32,""))</f>
        <v>42943</v>
      </c>
      <c r="F36" s="7">
        <f>IF(DAY(JulDom1)=1,IF(AND(YEAR(JulDom1+26)=CalendárioAno,MONTH(JulDom1+26)=7),JulDom1+26,""),IF(AND(YEAR(JulDom1+33)=CalendárioAno,MONTH(JulDom1+33)=7),JulDom1+33,""))</f>
        <v>42944</v>
      </c>
      <c r="G36" s="36">
        <f>IF(DAY(JulDom1)=1,IF(AND(YEAR(JulDom1+27)=CalendárioAno,MONTH(JulDom1+27)=7),JulDom1+27,""),IF(AND(YEAR(JulDom1+34)=CalendárioAno,MONTH(JulDom1+34)=7),JulDom1+34,""))</f>
        <v>42945</v>
      </c>
      <c r="H36" s="36">
        <f>IF(DAY(JulDom1)=1,IF(AND(YEAR(JulDom1+28)=CalendárioAno,MONTH(JulDom1+28)=7),JulDom1+28,""),IF(AND(YEAR(JulDom1+35)=CalendárioAno,MONTH(JulDom1+35)=7),JulDom1+35,""))</f>
        <v>42946</v>
      </c>
      <c r="I36" s="30"/>
      <c r="J36" s="7">
        <f>IF(DAY(AgoDom1)=1,IF(AND(YEAR(AgoDom1+22)=CalendárioAno,MONTH(AgoDom1+22)=8),AgoDom1+22,""),IF(AND(YEAR(AgoDom1+29)=CalendárioAno,MONTH(AgoDom1+29)=8),AgoDom1+29,""))</f>
        <v>42975</v>
      </c>
      <c r="K36" s="7">
        <f>IF(DAY(AgoDom1)=1,IF(AND(YEAR(AgoDom1+23)=CalendárioAno,MONTH(AgoDom1+23)=8),AgoDom1+23,""),IF(AND(YEAR(AgoDom1+30)=CalendárioAno,MONTH(AgoDom1+30)=8),AgoDom1+30,""))</f>
        <v>42976</v>
      </c>
      <c r="L36" s="7">
        <f>IF(DAY(AgoDom1)=1,IF(AND(YEAR(AgoDom1+24)=CalendárioAno,MONTH(AgoDom1+24)=8),AgoDom1+24,""),IF(AND(YEAR(AgoDom1+31)=CalendárioAno,MONTH(AgoDom1+31)=8),AgoDom1+31,""))</f>
        <v>42977</v>
      </c>
      <c r="M36" s="7">
        <f>IF(DAY(AgoDom1)=1,IF(AND(YEAR(AgoDom1+25)=CalendárioAno,MONTH(AgoDom1+25)=8),AgoDom1+25,""),IF(AND(YEAR(AgoDom1+32)=CalendárioAno,MONTH(AgoDom1+32)=8),AgoDom1+32,""))</f>
        <v>42978</v>
      </c>
      <c r="N36" s="7" t="str">
        <f>IF(DAY(AgoDom1)=1,IF(AND(YEAR(AgoDom1+26)=CalendárioAno,MONTH(AgoDom1+26)=8),AgoDom1+26,""),IF(AND(YEAR(AgoDom1+33)=CalendárioAno,MONTH(AgoDom1+33)=8),AgoDom1+33,""))</f>
        <v/>
      </c>
      <c r="O36" s="7" t="str">
        <f>IF(DAY(AgoDom1)=1,IF(AND(YEAR(AgoDom1+27)=CalendárioAno,MONTH(AgoDom1+27)=8),AgoDom1+27,""),IF(AND(YEAR(AgoDom1+34)=CalendárioAno,MONTH(AgoDom1+34)=8),AgoDom1+34,""))</f>
        <v/>
      </c>
      <c r="P36" s="7" t="str">
        <f>IF(DAY(AgoDom1)=1,IF(AND(YEAR(AgoDom1+28)=CalendárioAno,MONTH(AgoDom1+28)=8),AgoDom1+28,""),IF(AND(YEAR(AgoDom1+35)=CalendárioAno,MONTH(AgoDom1+35)=8),AgoDom1+35,""))</f>
        <v/>
      </c>
      <c r="Q36" s="21"/>
      <c r="R36" s="51"/>
      <c r="S36" s="61"/>
      <c r="T36" s="105" t="s">
        <v>40</v>
      </c>
      <c r="U36" s="105"/>
      <c r="V36" s="54"/>
      <c r="W36" s="54"/>
      <c r="X36" s="51"/>
      <c r="Y36" s="22"/>
      <c r="Z36" s="23"/>
    </row>
    <row r="37" spans="2:26" ht="17.100000000000001" customHeight="1" x14ac:dyDescent="0.25">
      <c r="B37" s="88">
        <f>IF(DAY(JulDom1)=1,IF(AND(YEAR(JulDom1+29)=CalendárioAno,MONTH(JulDom1+29)=7),JulDom1+29,""),IF(AND(YEAR(JulDom1+36)=CalendárioAno,MONTH(JulDom1+36)=7),JulDom1+36,""))</f>
        <v>42947</v>
      </c>
      <c r="C37" s="7" t="str">
        <f>IF(DAY(JulDom1)=1,IF(AND(YEAR(JulDom1+30)=CalendárioAno,MONTH(JulDom1+30)=7),JulDom1+30,""),IF(AND(YEAR(JulDom1+37)=CalendárioAno,MONTH(JulDom1+37)=7),JulDom1+37,""))</f>
        <v/>
      </c>
      <c r="D37" s="7" t="str">
        <f>IF(DAY(JulDom1)=1,IF(AND(YEAR(JulDom1+31)=CalendárioAno,MONTH(JulDom1+31)=7),JulDom1+31,""),IF(AND(YEAR(JulDom1+38)=CalendárioAno,MONTH(JulDom1+38)=7),JulDom1+38,""))</f>
        <v/>
      </c>
      <c r="E37" s="7" t="str">
        <f>IF(DAY(JulDom1)=1,IF(AND(YEAR(JulDom1+32)=CalendárioAno,MONTH(JulDom1+32)=7),JulDom1+32,""),IF(AND(YEAR(JulDom1+39)=CalendárioAno,MONTH(JulDom1+39)=7),JulDom1+39,""))</f>
        <v/>
      </c>
      <c r="F37" s="7" t="str">
        <f>IF(DAY(JulDom1)=1,IF(AND(YEAR(JulDom1+33)=CalendárioAno,MONTH(JulDom1+33)=7),JulDom1+33,""),IF(AND(YEAR(JulDom1+40)=CalendárioAno,MONTH(JulDom1+40)=7),JulDom1+40,""))</f>
        <v/>
      </c>
      <c r="G37" s="7" t="str">
        <f>IF(DAY(JulDom1)=1,IF(AND(YEAR(JulDom1+34)=CalendárioAno,MONTH(JulDom1+34)=7),JulDom1+34,""),IF(AND(YEAR(JulDom1+41)=CalendárioAno,MONTH(JulDom1+41)=7),JulDom1+41,""))</f>
        <v/>
      </c>
      <c r="H37" s="7" t="str">
        <f>IF(DAY(JulDom1)=1,IF(AND(YEAR(JulDom1+35)=CalendárioAno,MONTH(JulDom1+35)=7),JulDom1+35,""),IF(AND(YEAR(JulDom1+42)=CalendárioAno,MONTH(JulDom1+42)=7),JulDom1+42,""))</f>
        <v/>
      </c>
      <c r="I37" s="30"/>
      <c r="J37" s="7" t="str">
        <f>IF(DAY(AgoDom1)=1,IF(AND(YEAR(AgoDom1+29)=CalendárioAno,MONTH(AgoDom1+29)=8),AgoDom1+29,""),IF(AND(YEAR(AgoDom1+36)=CalendárioAno,MONTH(AgoDom1+36)=8),AgoDom1+36,""))</f>
        <v/>
      </c>
      <c r="K37" s="7" t="str">
        <f>IF(DAY(AgoDom1)=1,IF(AND(YEAR(AgoDom1+30)=CalendárioAno,MONTH(AgoDom1+30)=8),AgoDom1+30,""),IF(AND(YEAR(AgoDom1+37)=CalendárioAno,MONTH(AgoDom1+37)=8),AgoDom1+37,""))</f>
        <v/>
      </c>
      <c r="L37" s="7" t="str">
        <f>IF(DAY(AgoDom1)=1,IF(AND(YEAR(AgoDom1+31)=CalendárioAno,MONTH(AgoDom1+31)=8),AgoDom1+31,""),IF(AND(YEAR(AgoDom1+38)=CalendárioAno,MONTH(AgoDom1+38)=8),AgoDom1+38,""))</f>
        <v/>
      </c>
      <c r="M37" s="7" t="str">
        <f>IF(DAY(AgoDom1)=1,IF(AND(YEAR(AgoDom1+32)=CalendárioAno,MONTH(AgoDom1+32)=8),AgoDom1+32,""),IF(AND(YEAR(AgoDom1+39)=CalendárioAno,MONTH(AgoDom1+39)=8),AgoDom1+39,""))</f>
        <v/>
      </c>
      <c r="N37" s="7" t="str">
        <f>IF(DAY(AgoDom1)=1,IF(AND(YEAR(AgoDom1+33)=CalendárioAno,MONTH(AgoDom1+33)=8),AgoDom1+33,""),IF(AND(YEAR(AgoDom1+40)=CalendárioAno,MONTH(AgoDom1+40)=8),AgoDom1+40,""))</f>
        <v/>
      </c>
      <c r="O37" s="7" t="str">
        <f>IF(DAY(AgoDom1)=1,IF(AND(YEAR(AgoDom1+34)=CalendárioAno,MONTH(AgoDom1+34)=8),AgoDom1+34,""),IF(AND(YEAR(AgoDom1+41)=CalendárioAno,MONTH(AgoDom1+41)=8),AgoDom1+41,""))</f>
        <v/>
      </c>
      <c r="P37" s="7" t="str">
        <f>IF(DAY(AgoDom1)=1,IF(AND(YEAR(AgoDom1+35)=CalendárioAno,MONTH(AgoDom1+35)=8),AgoDom1+35,""),IF(AND(YEAR(AgoDom1+42)=CalendárioAno,MONTH(AgoDom1+42)=8),AgoDom1+42,""))</f>
        <v/>
      </c>
      <c r="Q37" s="21"/>
      <c r="R37" s="51"/>
      <c r="S37" s="44"/>
      <c r="T37" s="106"/>
      <c r="U37" s="107"/>
      <c r="V37" s="42"/>
      <c r="W37" s="41"/>
      <c r="X37" s="51"/>
      <c r="Y37" s="22"/>
      <c r="Z37" s="23"/>
    </row>
    <row r="38" spans="2:26" ht="17.100000000000001" customHeight="1" x14ac:dyDescent="0.25">
      <c r="B38" s="88"/>
      <c r="C38" s="7"/>
      <c r="D38" s="7"/>
      <c r="E38" s="7"/>
      <c r="F38" s="7"/>
      <c r="G38" s="7"/>
      <c r="H38" s="7"/>
      <c r="I38" s="30"/>
      <c r="J38" s="7"/>
      <c r="K38" s="7"/>
      <c r="L38" s="7"/>
      <c r="M38" s="7"/>
      <c r="N38" s="7"/>
      <c r="O38" s="7"/>
      <c r="P38" s="7"/>
      <c r="Q38" s="21"/>
      <c r="R38" s="51"/>
      <c r="S38" s="44"/>
      <c r="T38" s="106"/>
      <c r="U38" s="107"/>
      <c r="V38" s="42"/>
      <c r="W38" s="41"/>
      <c r="X38" s="51"/>
      <c r="Y38" s="22"/>
      <c r="Z38" s="23"/>
    </row>
    <row r="39" spans="2:26" ht="17.100000000000001" customHeight="1" x14ac:dyDescent="0.25">
      <c r="B39" s="91"/>
      <c r="C39" s="16"/>
      <c r="D39" s="16"/>
      <c r="E39" s="16"/>
      <c r="F39" s="16"/>
      <c r="G39" s="16"/>
      <c r="H39" s="16"/>
      <c r="I39" s="27"/>
      <c r="J39" s="16"/>
      <c r="K39" s="16"/>
      <c r="L39" s="16"/>
      <c r="M39" s="16"/>
      <c r="N39" s="16"/>
      <c r="O39" s="16"/>
      <c r="P39" s="16"/>
      <c r="Q39" s="21"/>
      <c r="R39" s="51"/>
      <c r="S39" s="44"/>
      <c r="T39" s="106" t="s">
        <v>130</v>
      </c>
      <c r="U39" s="107"/>
      <c r="V39" s="42" t="s">
        <v>131</v>
      </c>
      <c r="W39" s="57" t="s">
        <v>133</v>
      </c>
      <c r="X39" s="51"/>
      <c r="Y39" s="22"/>
      <c r="Z39" s="23"/>
    </row>
    <row r="40" spans="2:26" ht="17.100000000000001" customHeight="1" x14ac:dyDescent="0.25">
      <c r="B40" s="89" t="s">
        <v>4</v>
      </c>
      <c r="C40" s="60"/>
      <c r="D40" s="60"/>
      <c r="E40" s="60"/>
      <c r="F40" s="4"/>
      <c r="G40" s="4"/>
      <c r="H40" s="4"/>
      <c r="I40" s="27"/>
      <c r="J40" s="60" t="s">
        <v>5</v>
      </c>
      <c r="K40" s="60"/>
      <c r="L40" s="60"/>
      <c r="M40" s="4"/>
      <c r="N40" s="4"/>
      <c r="O40" s="4"/>
      <c r="P40" s="4"/>
      <c r="Q40" s="21"/>
      <c r="R40" s="51"/>
      <c r="S40" s="44"/>
      <c r="T40" s="106"/>
      <c r="U40" s="107"/>
      <c r="V40" s="42"/>
      <c r="W40" s="41"/>
      <c r="X40" s="51"/>
      <c r="Y40" s="22"/>
      <c r="Z40" s="23"/>
    </row>
    <row r="41" spans="2:26" ht="17.100000000000001" customHeight="1" x14ac:dyDescent="0.25">
      <c r="B41" s="87" t="s">
        <v>77</v>
      </c>
      <c r="C41" s="6" t="s">
        <v>78</v>
      </c>
      <c r="D41" s="6" t="s">
        <v>79</v>
      </c>
      <c r="E41" s="6" t="s">
        <v>79</v>
      </c>
      <c r="F41" s="6" t="s">
        <v>77</v>
      </c>
      <c r="G41" s="6" t="s">
        <v>77</v>
      </c>
      <c r="H41" s="6" t="s">
        <v>80</v>
      </c>
      <c r="I41" s="31"/>
      <c r="J41" s="6" t="s">
        <v>77</v>
      </c>
      <c r="K41" s="6" t="s">
        <v>78</v>
      </c>
      <c r="L41" s="6" t="s">
        <v>79</v>
      </c>
      <c r="M41" s="6" t="s">
        <v>79</v>
      </c>
      <c r="N41" s="6" t="s">
        <v>77</v>
      </c>
      <c r="O41" s="6" t="s">
        <v>77</v>
      </c>
      <c r="P41" s="6" t="s">
        <v>80</v>
      </c>
      <c r="Q41" s="21"/>
      <c r="R41" s="51"/>
      <c r="S41" s="61"/>
      <c r="T41" s="105" t="s">
        <v>41</v>
      </c>
      <c r="U41" s="105"/>
      <c r="V41" s="54"/>
      <c r="W41" s="54"/>
      <c r="X41" s="51"/>
      <c r="Y41" s="22"/>
      <c r="Z41" s="23"/>
    </row>
    <row r="42" spans="2:26" ht="17.100000000000001" customHeight="1" x14ac:dyDescent="0.25">
      <c r="B42" s="88" t="str">
        <f>IF(DAY(SetDom1)=1,"",IF(AND(YEAR(SetDom1+1)=CalendárioAno,MONTH(SetDom1+1)=9),SetDom1+1,""))</f>
        <v/>
      </c>
      <c r="C42" s="7" t="str">
        <f>IF(DAY(SetDom1)=1,"",IF(AND(YEAR(SetDom1+2)=CalendárioAno,MONTH(SetDom1+2)=9),SetDom1+2,""))</f>
        <v/>
      </c>
      <c r="D42" s="7" t="str">
        <f>IF(DAY(SetDom1)=1,"",IF(AND(YEAR(SetDom1+3)=CalendárioAno,MONTH(SetDom1+3)=9),SetDom1+3,""))</f>
        <v/>
      </c>
      <c r="E42" s="7" t="str">
        <f>IF(DAY(SetDom1)=1,"",IF(AND(YEAR(SetDom1+4)=CalendárioAno,MONTH(SetDom1+4)=9),SetDom1+4,""))</f>
        <v/>
      </c>
      <c r="F42" s="7">
        <f>IF(DAY(SetDom1)=1,"",IF(AND(YEAR(SetDom1+5)=CalendárioAno,MONTH(SetDom1+5)=9),SetDom1+5,""))</f>
        <v>42979</v>
      </c>
      <c r="G42" s="36">
        <f>IF(DAY(SetDom1)=1,"",IF(AND(YEAR(SetDom1+6)=CalendárioAno,MONTH(SetDom1+6)=9),SetDom1+6,""))</f>
        <v>42980</v>
      </c>
      <c r="H42" s="36">
        <f>IF(DAY(SetDom1)=1,IF(AND(YEAR(SetDom1)=CalendárioAno,MONTH(SetDom1)=9),SetDom1,""),IF(AND(YEAR(SetDom1+7)=CalendárioAno,MONTH(SetDom1+7)=9),SetDom1+7,""))</f>
        <v>42981</v>
      </c>
      <c r="I42" s="30"/>
      <c r="J42" s="7" t="str">
        <f>IF(DAY(OutDom1)=1,"",IF(AND(YEAR(OutDom1+1)=CalendárioAno,MONTH(OutDom1+1)=10),OutDom1+1,""))</f>
        <v/>
      </c>
      <c r="K42" s="7" t="str">
        <f>IF(DAY(OutDom1)=1,"",IF(AND(YEAR(OutDom1+2)=CalendárioAno,MONTH(OutDom1+2)=10),OutDom1+2,""))</f>
        <v/>
      </c>
      <c r="L42" s="7" t="str">
        <f>IF(DAY(OutDom1)=1,"",IF(AND(YEAR(OutDom1+3)=CalendárioAno,MONTH(OutDom1+3)=10),OutDom1+3,""))</f>
        <v/>
      </c>
      <c r="M42" s="7" t="str">
        <f>IF(DAY(OutDom1)=1,"",IF(AND(YEAR(OutDom1+4)=CalendárioAno,MONTH(OutDom1+4)=10),OutDom1+4,""))</f>
        <v/>
      </c>
      <c r="N42" s="7" t="str">
        <f>IF(DAY(OutDom1)=1,"",IF(AND(YEAR(OutDom1+5)=CalendárioAno,MONTH(OutDom1+5)=10),OutDom1+5,""))</f>
        <v/>
      </c>
      <c r="O42" s="36" t="str">
        <f>IF(DAY(OutDom1)=1,"",IF(AND(YEAR(OutDom1+6)=CalendárioAno,MONTH(OutDom1+6)=10),OutDom1+6,""))</f>
        <v/>
      </c>
      <c r="P42" s="36">
        <f>IF(DAY(OutDom1)=1,IF(AND(YEAR(OutDom1)=CalendárioAno,MONTH(OutDom1)=10),OutDom1,""),IF(AND(YEAR(OutDom1+7)=CalendárioAno,MONTH(OutDom1+7)=10),OutDom1+7,""))</f>
        <v>43009</v>
      </c>
      <c r="Q42" s="21"/>
      <c r="R42" s="51"/>
      <c r="S42" s="44" t="s">
        <v>69</v>
      </c>
      <c r="T42" s="106" t="s">
        <v>67</v>
      </c>
      <c r="U42" s="107"/>
      <c r="V42" s="42" t="s">
        <v>35</v>
      </c>
      <c r="W42" s="41"/>
      <c r="X42" s="51"/>
      <c r="Y42" s="22"/>
      <c r="Z42" s="23"/>
    </row>
    <row r="43" spans="2:26" ht="17.100000000000001" customHeight="1" x14ac:dyDescent="0.25">
      <c r="B43" s="88">
        <f>IF(DAY(SetDom1)=1,IF(AND(YEAR(SetDom1+1)=CalendárioAno,MONTH(SetDom1+1)=9),SetDom1+1,""),IF(AND(YEAR(SetDom1+8)=CalendárioAno,MONTH(SetDom1+8)=9),SetDom1+8,""))</f>
        <v>42982</v>
      </c>
      <c r="C43" s="7">
        <f>IF(DAY(SetDom1)=1,IF(AND(YEAR(SetDom1+2)=CalendárioAno,MONTH(SetDom1+2)=9),SetDom1+2,""),IF(AND(YEAR(SetDom1+9)=CalendárioAno,MONTH(SetDom1+9)=9),SetDom1+9,""))</f>
        <v>42983</v>
      </c>
      <c r="D43" s="7">
        <f>IF(DAY(SetDom1)=1,IF(AND(YEAR(SetDom1+3)=CalendárioAno,MONTH(SetDom1+3)=9),SetDom1+3,""),IF(AND(YEAR(SetDom1+10)=CalendárioAno,MONTH(SetDom1+10)=9),SetDom1+10,""))</f>
        <v>42984</v>
      </c>
      <c r="E43" s="7">
        <f>IF(DAY(SetDom1)=1,IF(AND(YEAR(SetDom1+4)=CalendárioAno,MONTH(SetDom1+4)=9),SetDom1+4,""),IF(AND(YEAR(SetDom1+11)=CalendárioAno,MONTH(SetDom1+11)=9),SetDom1+11,""))</f>
        <v>42985</v>
      </c>
      <c r="F43" s="7">
        <f>IF(DAY(SetDom1)=1,IF(AND(YEAR(SetDom1+5)=CalendárioAno,MONTH(SetDom1+5)=9),SetDom1+5,""),IF(AND(YEAR(SetDom1+12)=CalendárioAno,MONTH(SetDom1+12)=9),SetDom1+12,""))</f>
        <v>42986</v>
      </c>
      <c r="G43" s="36">
        <f>IF(DAY(SetDom1)=1,IF(AND(YEAR(SetDom1+6)=CalendárioAno,MONTH(SetDom1+6)=9),SetDom1+6,""),IF(AND(YEAR(SetDom1+13)=CalendárioAno,MONTH(SetDom1+13)=9),SetDom1+13,""))</f>
        <v>42987</v>
      </c>
      <c r="H43" s="36">
        <f>IF(DAY(SetDom1)=1,IF(AND(YEAR(SetDom1+7)=CalendárioAno,MONTH(SetDom1+7)=9),SetDom1+7,""),IF(AND(YEAR(SetDom1+14)=CalendárioAno,MONTH(SetDom1+14)=9),SetDom1+14,""))</f>
        <v>42988</v>
      </c>
      <c r="I43" s="30"/>
      <c r="J43" s="7">
        <f>IF(DAY(OutDom1)=1,IF(AND(YEAR(OutDom1+1)=CalendárioAno,MONTH(OutDom1+1)=10),OutDom1+1,""),IF(AND(YEAR(OutDom1+8)=CalendárioAno,MONTH(OutDom1+8)=10),OutDom1+8,""))</f>
        <v>43010</v>
      </c>
      <c r="K43" s="7">
        <f>IF(DAY(OutDom1)=1,IF(AND(YEAR(OutDom1+2)=CalendárioAno,MONTH(OutDom1+2)=10),OutDom1+2,""),IF(AND(YEAR(OutDom1+9)=CalendárioAno,MONTH(OutDom1+9)=10),OutDom1+9,""))</f>
        <v>43011</v>
      </c>
      <c r="L43" s="7">
        <f>IF(DAY(OutDom1)=1,IF(AND(YEAR(OutDom1+3)=CalendárioAno,MONTH(OutDom1+3)=10),OutDom1+3,""),IF(AND(YEAR(OutDom1+10)=CalendárioAno,MONTH(OutDom1+10)=10),OutDom1+10,""))</f>
        <v>43012</v>
      </c>
      <c r="M43" s="7">
        <f>IF(DAY(OutDom1)=1,IF(AND(YEAR(OutDom1+4)=CalendárioAno,MONTH(OutDom1+4)=10),OutDom1+4,""),IF(AND(YEAR(OutDom1+11)=CalendárioAno,MONTH(OutDom1+11)=10),OutDom1+11,""))</f>
        <v>43013</v>
      </c>
      <c r="N43" s="7">
        <f>IF(DAY(OutDom1)=1,IF(AND(YEAR(OutDom1+5)=CalendárioAno,MONTH(OutDom1+5)=10),OutDom1+5,""),IF(AND(YEAR(OutDom1+12)=CalendárioAno,MONTH(OutDom1+12)=10),OutDom1+12,""))</f>
        <v>43014</v>
      </c>
      <c r="O43" s="36">
        <f>IF(DAY(OutDom1)=1,IF(AND(YEAR(OutDom1+6)=CalendárioAno,MONTH(OutDom1+6)=10),OutDom1+6,""),IF(AND(YEAR(OutDom1+13)=CalendárioAno,MONTH(OutDom1+13)=10),OutDom1+13,""))</f>
        <v>43015</v>
      </c>
      <c r="P43" s="36">
        <f>IF(DAY(OutDom1)=1,IF(AND(YEAR(OutDom1+7)=CalendárioAno,MONTH(OutDom1+7)=10),OutDom1+7,""),IF(AND(YEAR(OutDom1+14)=CalendárioAno,MONTH(OutDom1+14)=10),OutDom1+14,""))</f>
        <v>43016</v>
      </c>
      <c r="Q43" s="21"/>
      <c r="R43" s="51"/>
      <c r="S43" s="44"/>
      <c r="T43" s="106"/>
      <c r="U43" s="107"/>
      <c r="V43" s="42"/>
      <c r="W43" s="41"/>
      <c r="X43" s="51"/>
      <c r="Y43" s="22"/>
      <c r="Z43" s="23"/>
    </row>
    <row r="44" spans="2:26" ht="17.100000000000001" customHeight="1" x14ac:dyDescent="0.25">
      <c r="B44" s="88">
        <f>IF(DAY(SetDom1)=1,IF(AND(YEAR(SetDom1+8)=CalendárioAno,MONTH(SetDom1+8)=9),SetDom1+8,""),IF(AND(YEAR(SetDom1+15)=CalendárioAno,MONTH(SetDom1+15)=9),SetDom1+15,""))</f>
        <v>42989</v>
      </c>
      <c r="C44" s="7">
        <f>IF(DAY(SetDom1)=1,IF(AND(YEAR(SetDom1+9)=CalendárioAno,MONTH(SetDom1+9)=9),SetDom1+9,""),IF(AND(YEAR(SetDom1+16)=CalendárioAno,MONTH(SetDom1+16)=9),SetDom1+16,""))</f>
        <v>42990</v>
      </c>
      <c r="D44" s="7">
        <f>IF(DAY(SetDom1)=1,IF(AND(YEAR(SetDom1+10)=CalendárioAno,MONTH(SetDom1+10)=9),SetDom1+10,""),IF(AND(YEAR(SetDom1+17)=CalendárioAno,MONTH(SetDom1+17)=9),SetDom1+17,""))</f>
        <v>42991</v>
      </c>
      <c r="E44" s="7">
        <f>IF(DAY(SetDom1)=1,IF(AND(YEAR(SetDom1+11)=CalendárioAno,MONTH(SetDom1+11)=9),SetDom1+11,""),IF(AND(YEAR(SetDom1+18)=CalendárioAno,MONTH(SetDom1+18)=9),SetDom1+18,""))</f>
        <v>42992</v>
      </c>
      <c r="F44" s="7">
        <f>IF(DAY(SetDom1)=1,IF(AND(YEAR(SetDom1+12)=CalendárioAno,MONTH(SetDom1+12)=9),SetDom1+12,""),IF(AND(YEAR(SetDom1+19)=CalendárioAno,MONTH(SetDom1+19)=9),SetDom1+19,""))</f>
        <v>42993</v>
      </c>
      <c r="G44" s="36">
        <f>IF(DAY(SetDom1)=1,IF(AND(YEAR(SetDom1+13)=CalendárioAno,MONTH(SetDom1+13)=9),SetDom1+13,""),IF(AND(YEAR(SetDom1+20)=CalendárioAno,MONTH(SetDom1+20)=9),SetDom1+20,""))</f>
        <v>42994</v>
      </c>
      <c r="H44" s="36">
        <f>IF(DAY(SetDom1)=1,IF(AND(YEAR(SetDom1+14)=CalendárioAno,MONTH(SetDom1+14)=9),SetDom1+14,""),IF(AND(YEAR(SetDom1+21)=CalendárioAno,MONTH(SetDom1+21)=9),SetDom1+21,""))</f>
        <v>42995</v>
      </c>
      <c r="I44" s="30"/>
      <c r="J44" s="7">
        <f>IF(DAY(OutDom1)=1,IF(AND(YEAR(OutDom1+8)=CalendárioAno,MONTH(OutDom1+8)=10),OutDom1+8,""),IF(AND(YEAR(OutDom1+15)=CalendárioAno,MONTH(OutDom1+15)=10),OutDom1+15,""))</f>
        <v>43017</v>
      </c>
      <c r="K44" s="7">
        <f>IF(DAY(OutDom1)=1,IF(AND(YEAR(OutDom1+9)=CalendárioAno,MONTH(OutDom1+9)=10),OutDom1+9,""),IF(AND(YEAR(OutDom1+16)=CalendárioAno,MONTH(OutDom1+16)=10),OutDom1+16,""))</f>
        <v>43018</v>
      </c>
      <c r="L44" s="7">
        <f>IF(DAY(OutDom1)=1,IF(AND(YEAR(OutDom1+10)=CalendárioAno,MONTH(OutDom1+10)=10),OutDom1+10,""),IF(AND(YEAR(OutDom1+17)=CalendárioAno,MONTH(OutDom1+17)=10),OutDom1+17,""))</f>
        <v>43019</v>
      </c>
      <c r="M44" s="7">
        <f>IF(DAY(OutDom1)=1,IF(AND(YEAR(OutDom1+11)=CalendárioAno,MONTH(OutDom1+11)=10),OutDom1+11,""),IF(AND(YEAR(OutDom1+18)=CalendárioAno,MONTH(OutDom1+18)=10),OutDom1+18,""))</f>
        <v>43020</v>
      </c>
      <c r="N44" s="7">
        <f>IF(DAY(OutDom1)=1,IF(AND(YEAR(OutDom1+12)=CalendárioAno,MONTH(OutDom1+12)=10),OutDom1+12,""),IF(AND(YEAR(OutDom1+19)=CalendárioAno,MONTH(OutDom1+19)=10),OutDom1+19,""))</f>
        <v>43021</v>
      </c>
      <c r="O44" s="36">
        <f>IF(DAY(OutDom1)=1,IF(AND(YEAR(OutDom1+13)=CalendárioAno,MONTH(OutDom1+13)=10),OutDom1+13,""),IF(AND(YEAR(OutDom1+20)=CalendárioAno,MONTH(OutDom1+20)=10),OutDom1+20,""))</f>
        <v>43022</v>
      </c>
      <c r="P44" s="36">
        <f>IF(DAY(OutDom1)=1,IF(AND(YEAR(OutDom1+14)=CalendárioAno,MONTH(OutDom1+14)=10),OutDom1+14,""),IF(AND(YEAR(OutDom1+21)=CalendárioAno,MONTH(OutDom1+21)=10),OutDom1+21,""))</f>
        <v>43023</v>
      </c>
      <c r="Q44" s="29"/>
      <c r="R44" s="51"/>
      <c r="S44" s="44"/>
      <c r="T44" s="106"/>
      <c r="U44" s="107"/>
      <c r="V44" s="42"/>
      <c r="W44" s="41"/>
      <c r="X44" s="51"/>
      <c r="Y44" s="22"/>
      <c r="Z44" s="23"/>
    </row>
    <row r="45" spans="2:26" ht="17.100000000000001" customHeight="1" x14ac:dyDescent="0.25">
      <c r="B45" s="88">
        <f>IF(DAY(SetDom1)=1,IF(AND(YEAR(SetDom1+15)=CalendárioAno,MONTH(SetDom1+15)=9),SetDom1+15,""),IF(AND(YEAR(SetDom1+22)=CalendárioAno,MONTH(SetDom1+22)=9),SetDom1+22,""))</f>
        <v>42996</v>
      </c>
      <c r="C45" s="7">
        <f>IF(DAY(SetDom1)=1,IF(AND(YEAR(SetDom1+16)=CalendárioAno,MONTH(SetDom1+16)=9),SetDom1+16,""),IF(AND(YEAR(SetDom1+23)=CalendárioAno,MONTH(SetDom1+23)=9),SetDom1+23,""))</f>
        <v>42997</v>
      </c>
      <c r="D45" s="7">
        <f>IF(DAY(SetDom1)=1,IF(AND(YEAR(SetDom1+17)=CalendárioAno,MONTH(SetDom1+17)=9),SetDom1+17,""),IF(AND(YEAR(SetDom1+24)=CalendárioAno,MONTH(SetDom1+24)=9),SetDom1+24,""))</f>
        <v>42998</v>
      </c>
      <c r="E45" s="7">
        <f>IF(DAY(SetDom1)=1,IF(AND(YEAR(SetDom1+18)=CalendárioAno,MONTH(SetDom1+18)=9),SetDom1+18,""),IF(AND(YEAR(SetDom1+25)=CalendárioAno,MONTH(SetDom1+25)=9),SetDom1+25,""))</f>
        <v>42999</v>
      </c>
      <c r="F45" s="7">
        <f>IF(DAY(SetDom1)=1,IF(AND(YEAR(SetDom1+19)=CalendárioAno,MONTH(SetDom1+19)=9),SetDom1+19,""),IF(AND(YEAR(SetDom1+26)=CalendárioAno,MONTH(SetDom1+26)=9),SetDom1+26,""))</f>
        <v>43000</v>
      </c>
      <c r="G45" s="36">
        <f>IF(DAY(SetDom1)=1,IF(AND(YEAR(SetDom1+20)=CalendárioAno,MONTH(SetDom1+20)=9),SetDom1+20,""),IF(AND(YEAR(SetDom1+27)=CalendárioAno,MONTH(SetDom1+27)=9),SetDom1+27,""))</f>
        <v>43001</v>
      </c>
      <c r="H45" s="36">
        <f>IF(DAY(SetDom1)=1,IF(AND(YEAR(SetDom1+21)=CalendárioAno,MONTH(SetDom1+21)=9),SetDom1+21,""),IF(AND(YEAR(SetDom1+28)=CalendárioAno,MONTH(SetDom1+28)=9),SetDom1+28,""))</f>
        <v>43002</v>
      </c>
      <c r="I45" s="30"/>
      <c r="J45" s="7">
        <f>IF(DAY(OutDom1)=1,IF(AND(YEAR(OutDom1+15)=CalendárioAno,MONTH(OutDom1+15)=10),OutDom1+15,""),IF(AND(YEAR(OutDom1+22)=CalendárioAno,MONTH(OutDom1+22)=10),OutDom1+22,""))</f>
        <v>43024</v>
      </c>
      <c r="K45" s="7">
        <f>IF(DAY(OutDom1)=1,IF(AND(YEAR(OutDom1+16)=CalendárioAno,MONTH(OutDom1+16)=10),OutDom1+16,""),IF(AND(YEAR(OutDom1+23)=CalendárioAno,MONTH(OutDom1+23)=10),OutDom1+23,""))</f>
        <v>43025</v>
      </c>
      <c r="L45" s="7">
        <f>IF(DAY(OutDom1)=1,IF(AND(YEAR(OutDom1+17)=CalendárioAno,MONTH(OutDom1+17)=10),OutDom1+17,""),IF(AND(YEAR(OutDom1+24)=CalendárioAno,MONTH(OutDom1+24)=10),OutDom1+24,""))</f>
        <v>43026</v>
      </c>
      <c r="M45" s="7">
        <f>IF(DAY(OutDom1)=1,IF(AND(YEAR(OutDom1+18)=CalendárioAno,MONTH(OutDom1+18)=10),OutDom1+18,""),IF(AND(YEAR(OutDom1+25)=CalendárioAno,MONTH(OutDom1+25)=10),OutDom1+25,""))</f>
        <v>43027</v>
      </c>
      <c r="N45" s="7">
        <f>IF(DAY(OutDom1)=1,IF(AND(YEAR(OutDom1+19)=CalendárioAno,MONTH(OutDom1+19)=10),OutDom1+19,""),IF(AND(YEAR(OutDom1+26)=CalendárioAno,MONTH(OutDom1+26)=10),OutDom1+26,""))</f>
        <v>43028</v>
      </c>
      <c r="O45" s="36">
        <f>IF(DAY(OutDom1)=1,IF(AND(YEAR(OutDom1+20)=CalendárioAno,MONTH(OutDom1+20)=10),OutDom1+20,""),IF(AND(YEAR(OutDom1+27)=CalendárioAno,MONTH(OutDom1+27)=10),OutDom1+27,""))</f>
        <v>43029</v>
      </c>
      <c r="P45" s="36">
        <f>IF(DAY(OutDom1)=1,IF(AND(YEAR(OutDom1+21)=CalendárioAno,MONTH(OutDom1+21)=10),OutDom1+21,""),IF(AND(YEAR(OutDom1+28)=CalendárioAno,MONTH(OutDom1+28)=10),OutDom1+28,""))</f>
        <v>43030</v>
      </c>
      <c r="Q45" s="32"/>
      <c r="R45" s="51"/>
      <c r="S45" s="61"/>
      <c r="T45" s="105" t="s">
        <v>42</v>
      </c>
      <c r="U45" s="105"/>
      <c r="V45" s="54"/>
      <c r="W45" s="54"/>
      <c r="X45" s="51"/>
      <c r="Y45" s="22"/>
      <c r="Z45" s="23"/>
    </row>
    <row r="46" spans="2:26" ht="17.100000000000001" customHeight="1" x14ac:dyDescent="0.25">
      <c r="B46" s="88">
        <f>IF(DAY(SetDom1)=1,IF(AND(YEAR(SetDom1+22)=CalendárioAno,MONTH(SetDom1+22)=9),SetDom1+22,""),IF(AND(YEAR(SetDom1+29)=CalendárioAno,MONTH(SetDom1+29)=9),SetDom1+29,""))</f>
        <v>43003</v>
      </c>
      <c r="C46" s="7">
        <f>IF(DAY(SetDom1)=1,IF(AND(YEAR(SetDom1+23)=CalendárioAno,MONTH(SetDom1+23)=9),SetDom1+23,""),IF(AND(YEAR(SetDom1+30)=CalendárioAno,MONTH(SetDom1+30)=9),SetDom1+30,""))</f>
        <v>43004</v>
      </c>
      <c r="D46" s="7">
        <f>IF(DAY(SetDom1)=1,IF(AND(YEAR(SetDom1+24)=CalendárioAno,MONTH(SetDom1+24)=9),SetDom1+24,""),IF(AND(YEAR(SetDom1+31)=CalendárioAno,MONTH(SetDom1+31)=9),SetDom1+31,""))</f>
        <v>43005</v>
      </c>
      <c r="E46" s="7">
        <f>IF(DAY(SetDom1)=1,IF(AND(YEAR(SetDom1+25)=CalendárioAno,MONTH(SetDom1+25)=9),SetDom1+25,""),IF(AND(YEAR(SetDom1+32)=CalendárioAno,MONTH(SetDom1+32)=9),SetDom1+32,""))</f>
        <v>43006</v>
      </c>
      <c r="F46" s="7">
        <f>IF(DAY(SetDom1)=1,IF(AND(YEAR(SetDom1+26)=CalendárioAno,MONTH(SetDom1+26)=9),SetDom1+26,""),IF(AND(YEAR(SetDom1+33)=CalendárioAno,MONTH(SetDom1+33)=9),SetDom1+33,""))</f>
        <v>43007</v>
      </c>
      <c r="G46" s="36">
        <f>IF(DAY(SetDom1)=1,IF(AND(YEAR(SetDom1+27)=CalendárioAno,MONTH(SetDom1+27)=9),SetDom1+27,""),IF(AND(YEAR(SetDom1+34)=CalendárioAno,MONTH(SetDom1+34)=9),SetDom1+34,""))</f>
        <v>43008</v>
      </c>
      <c r="H46" s="36" t="str">
        <f>IF(DAY(SetDom1)=1,IF(AND(YEAR(SetDom1+28)=CalendárioAno,MONTH(SetDom1+28)=9),SetDom1+28,""),IF(AND(YEAR(SetDom1+35)=CalendárioAno,MONTH(SetDom1+35)=9),SetDom1+35,""))</f>
        <v/>
      </c>
      <c r="I46" s="30"/>
      <c r="J46" s="7">
        <f>IF(DAY(OutDom1)=1,IF(AND(YEAR(OutDom1+22)=CalendárioAno,MONTH(OutDom1+22)=10),OutDom1+22,""),IF(AND(YEAR(OutDom1+29)=CalendárioAno,MONTH(OutDom1+29)=10),OutDom1+29,""))</f>
        <v>43031</v>
      </c>
      <c r="K46" s="7">
        <f>IF(DAY(OutDom1)=1,IF(AND(YEAR(OutDom1+23)=CalendárioAno,MONTH(OutDom1+23)=10),OutDom1+23,""),IF(AND(YEAR(OutDom1+30)=CalendárioAno,MONTH(OutDom1+30)=10),OutDom1+30,""))</f>
        <v>43032</v>
      </c>
      <c r="L46" s="7">
        <f>IF(DAY(OutDom1)=1,IF(AND(YEAR(OutDom1+24)=CalendárioAno,MONTH(OutDom1+24)=10),OutDom1+24,""),IF(AND(YEAR(OutDom1+31)=CalendárioAno,MONTH(OutDom1+31)=10),OutDom1+31,""))</f>
        <v>43033</v>
      </c>
      <c r="M46" s="7">
        <f>IF(DAY(OutDom1)=1,IF(AND(YEAR(OutDom1+25)=CalendárioAno,MONTH(OutDom1+25)=10),OutDom1+25,""),IF(AND(YEAR(OutDom1+32)=CalendárioAno,MONTH(OutDom1+32)=10),OutDom1+32,""))</f>
        <v>43034</v>
      </c>
      <c r="N46" s="7">
        <f>IF(DAY(OutDom1)=1,IF(AND(YEAR(OutDom1+26)=CalendárioAno,MONTH(OutDom1+26)=10),OutDom1+26,""),IF(AND(YEAR(OutDom1+33)=CalendárioAno,MONTH(OutDom1+33)=10),OutDom1+33,""))</f>
        <v>43035</v>
      </c>
      <c r="O46" s="36">
        <f>IF(DAY(OutDom1)=1,IF(AND(YEAR(OutDom1+27)=CalendárioAno,MONTH(OutDom1+27)=10),OutDom1+27,""),IF(AND(YEAR(OutDom1+34)=CalendárioAno,MONTH(OutDom1+34)=10),OutDom1+34,""))</f>
        <v>43036</v>
      </c>
      <c r="P46" s="36">
        <f>IF(DAY(OutDom1)=1,IF(AND(YEAR(OutDom1+28)=CalendárioAno,MONTH(OutDom1+28)=10),OutDom1+28,""),IF(AND(YEAR(OutDom1+35)=CalendárioAno,MONTH(OutDom1+35)=10),OutDom1+35,""))</f>
        <v>43037</v>
      </c>
      <c r="Q46" s="32"/>
      <c r="R46" s="51"/>
      <c r="S46" s="44"/>
      <c r="T46" s="106" t="s">
        <v>68</v>
      </c>
      <c r="U46" s="107"/>
      <c r="V46" s="42" t="s">
        <v>20</v>
      </c>
      <c r="W46" s="41"/>
      <c r="X46" s="51"/>
      <c r="Y46" s="22"/>
      <c r="Z46" s="23"/>
    </row>
    <row r="47" spans="2:26" ht="17.100000000000001" customHeight="1" x14ac:dyDescent="0.25">
      <c r="B47" s="91" t="str">
        <f>IF(DAY(SetDom1)=1,IF(AND(YEAR(SetDom1+29)=CalendárioAno,MONTH(SetDom1+29)=9),SetDom1+29,""),IF(AND(YEAR(SetDom1+36)=CalendárioAno,MONTH(SetDom1+36)=9),SetDom1+36,""))</f>
        <v/>
      </c>
      <c r="C47" s="16" t="str">
        <f>IF(DAY(SetDom1)=1,IF(AND(YEAR(SetDom1+30)=CalendárioAno,MONTH(SetDom1+30)=9),SetDom1+30,""),IF(AND(YEAR(SetDom1+37)=CalendárioAno,MONTH(SetDom1+37)=9),SetDom1+37,""))</f>
        <v/>
      </c>
      <c r="D47" s="16" t="str">
        <f>IF(DAY(SetDom1)=1,IF(AND(YEAR(SetDom1+31)=CalendárioAno,MONTH(SetDom1+31)=9),SetDom1+31,""),IF(AND(YEAR(SetDom1+38)=CalendárioAno,MONTH(SetDom1+38)=9),SetDom1+38,""))</f>
        <v/>
      </c>
      <c r="E47" s="16" t="str">
        <f>IF(DAY(SetDom1)=1,IF(AND(YEAR(SetDom1+32)=CalendárioAno,MONTH(SetDom1+32)=9),SetDom1+32,""),IF(AND(YEAR(SetDom1+39)=CalendárioAno,MONTH(SetDom1+39)=9),SetDom1+39,""))</f>
        <v/>
      </c>
      <c r="F47" s="16" t="str">
        <f>IF(DAY(SetDom1)=1,IF(AND(YEAR(SetDom1+33)=CalendárioAno,MONTH(SetDom1+33)=9),SetDom1+33,""),IF(AND(YEAR(SetDom1+40)=CalendárioAno,MONTH(SetDom1+40)=9),SetDom1+40,""))</f>
        <v/>
      </c>
      <c r="G47" s="16" t="str">
        <f>IF(DAY(SetDom1)=1,IF(AND(YEAR(SetDom1+34)=CalendárioAno,MONTH(SetDom1+34)=9),SetDom1+34,""),IF(AND(YEAR(SetDom1+41)=CalendárioAno,MONTH(SetDom1+41)=9),SetDom1+41,""))</f>
        <v/>
      </c>
      <c r="H47" s="16" t="str">
        <f>IF(DAY(SetDom1)=1,IF(AND(YEAR(SetDom1+35)=CalendárioAno,MONTH(SetDom1+35)=9),SetDom1+35,""),IF(AND(YEAR(SetDom1+42)=CalendárioAno,MONTH(SetDom1+42)=9),SetDom1+42,""))</f>
        <v/>
      </c>
      <c r="I47" s="27"/>
      <c r="J47" s="7">
        <f>IF(DAY(OutDom1)=1,IF(AND(YEAR(OutDom1+29)=CalendárioAno,MONTH(OutDom1+29)=10),OutDom1+29,""),IF(AND(YEAR(OutDom1+36)=CalendárioAno,MONTH(OutDom1+36)=10),OutDom1+36,""))</f>
        <v>43038</v>
      </c>
      <c r="K47" s="7">
        <f>IF(DAY(OutDom1)=1,IF(AND(YEAR(OutDom1+30)=CalendárioAno,MONTH(OutDom1+30)=10),OutDom1+30,""),IF(AND(YEAR(OutDom1+37)=CalendárioAno,MONTH(OutDom1+37)=10),OutDom1+37,""))</f>
        <v>43039</v>
      </c>
      <c r="L47" s="16" t="str">
        <f>IF(DAY(OutDom1)=1,IF(AND(YEAR(OutDom1+31)=CalendárioAno,MONTH(OutDom1+31)=10),OutDom1+31,""),IF(AND(YEAR(OutDom1+38)=CalendárioAno,MONTH(OutDom1+38)=10),OutDom1+38,""))</f>
        <v/>
      </c>
      <c r="M47" s="16" t="str">
        <f>IF(DAY(OutDom1)=1,IF(AND(YEAR(OutDom1+32)=CalendárioAno,MONTH(OutDom1+32)=10),OutDom1+32,""),IF(AND(YEAR(OutDom1+39)=CalendárioAno,MONTH(OutDom1+39)=10),OutDom1+39,""))</f>
        <v/>
      </c>
      <c r="N47" s="16" t="str">
        <f>IF(DAY(OutDom1)=1,IF(AND(YEAR(OutDom1+33)=CalendárioAno,MONTH(OutDom1+33)=10),OutDom1+33,""),IF(AND(YEAR(OutDom1+40)=CalendárioAno,MONTH(OutDom1+40)=10),OutDom1+40,""))</f>
        <v/>
      </c>
      <c r="O47" s="16" t="str">
        <f>IF(DAY(OutDom1)=1,IF(AND(YEAR(OutDom1+34)=CalendárioAno,MONTH(OutDom1+34)=10),OutDom1+34,""),IF(AND(YEAR(OutDom1+41)=CalendárioAno,MONTH(OutDom1+41)=10),OutDom1+41,""))</f>
        <v/>
      </c>
      <c r="P47" s="16" t="str">
        <f>IF(DAY(OutDom1)=1,IF(AND(YEAR(OutDom1+35)=CalendárioAno,MONTH(OutDom1+35)=10),OutDom1+35,""),IF(AND(YEAR(OutDom1+42)=CalendárioAno,MONTH(OutDom1+42)=10),OutDom1+42,""))</f>
        <v/>
      </c>
      <c r="Q47" s="32"/>
      <c r="R47" s="51"/>
      <c r="S47" s="44"/>
      <c r="T47" s="106"/>
      <c r="U47" s="107"/>
      <c r="V47" s="42"/>
      <c r="W47" s="41"/>
      <c r="X47" s="51"/>
      <c r="Y47" s="22"/>
      <c r="Z47" s="23"/>
    </row>
    <row r="48" spans="2:26" ht="17.100000000000001" customHeight="1" x14ac:dyDescent="0.25">
      <c r="B48" s="93"/>
      <c r="C48" s="2"/>
      <c r="D48" s="2"/>
      <c r="E48" s="2"/>
      <c r="F48" s="2"/>
      <c r="G48" s="2"/>
      <c r="H48" s="2"/>
      <c r="I48" s="27"/>
      <c r="J48" s="27"/>
      <c r="K48" s="27"/>
      <c r="L48" s="27"/>
      <c r="M48" s="27"/>
      <c r="N48" s="27"/>
      <c r="O48" s="27"/>
      <c r="P48" s="27"/>
      <c r="Q48" s="33"/>
      <c r="R48" s="51"/>
      <c r="S48" s="44"/>
      <c r="T48" s="106"/>
      <c r="U48" s="107"/>
      <c r="V48" s="42"/>
      <c r="W48" s="41"/>
      <c r="X48" s="51"/>
      <c r="Y48" s="22"/>
      <c r="Z48" s="23"/>
    </row>
    <row r="49" spans="2:26" ht="17.100000000000001" customHeight="1" x14ac:dyDescent="0.25">
      <c r="B49" s="89" t="s">
        <v>6</v>
      </c>
      <c r="C49" s="60"/>
      <c r="D49" s="60"/>
      <c r="E49" s="60"/>
      <c r="F49" s="4"/>
      <c r="G49" s="4"/>
      <c r="H49" s="4"/>
      <c r="I49" s="27"/>
      <c r="J49" s="60" t="s">
        <v>7</v>
      </c>
      <c r="K49" s="60"/>
      <c r="L49" s="60"/>
      <c r="M49" s="60"/>
      <c r="N49" s="4"/>
      <c r="O49" s="4"/>
      <c r="P49" s="4"/>
      <c r="Q49" s="21"/>
      <c r="R49" s="51"/>
      <c r="S49" s="61"/>
      <c r="T49" s="105" t="s">
        <v>43</v>
      </c>
      <c r="U49" s="105"/>
      <c r="V49" s="54"/>
      <c r="W49" s="54"/>
      <c r="X49" s="51"/>
      <c r="Y49" s="22"/>
      <c r="Z49" s="34"/>
    </row>
    <row r="50" spans="2:26" ht="17.100000000000001" customHeight="1" x14ac:dyDescent="0.25">
      <c r="B50" s="87" t="s">
        <v>77</v>
      </c>
      <c r="C50" s="6" t="s">
        <v>78</v>
      </c>
      <c r="D50" s="6" t="s">
        <v>79</v>
      </c>
      <c r="E50" s="6" t="s">
        <v>79</v>
      </c>
      <c r="F50" s="6" t="s">
        <v>77</v>
      </c>
      <c r="G50" s="6" t="s">
        <v>77</v>
      </c>
      <c r="H50" s="6" t="s">
        <v>80</v>
      </c>
      <c r="I50" s="31"/>
      <c r="J50" s="6" t="s">
        <v>77</v>
      </c>
      <c r="K50" s="6" t="s">
        <v>78</v>
      </c>
      <c r="L50" s="6" t="s">
        <v>79</v>
      </c>
      <c r="M50" s="6" t="s">
        <v>79</v>
      </c>
      <c r="N50" s="6" t="s">
        <v>77</v>
      </c>
      <c r="O50" s="6" t="s">
        <v>77</v>
      </c>
      <c r="P50" s="6" t="s">
        <v>80</v>
      </c>
      <c r="Q50" s="21"/>
      <c r="R50" s="51"/>
      <c r="S50" s="44"/>
      <c r="T50" s="106"/>
      <c r="U50" s="107"/>
      <c r="V50" s="42"/>
      <c r="W50" s="41"/>
      <c r="X50" s="51"/>
      <c r="Y50" s="22"/>
      <c r="Z50" s="23"/>
    </row>
    <row r="51" spans="2:26" ht="17.100000000000001" customHeight="1" x14ac:dyDescent="0.25">
      <c r="B51" s="88" t="str">
        <f>IF(DAY(NovDom1)=1,"",IF(AND(YEAR(NovDom1+1)=CalendárioAno,MONTH(NovDom1+1)=11),NovDom1+1,""))</f>
        <v/>
      </c>
      <c r="C51" s="7" t="str">
        <f>IF(DAY(NovDom1)=1,"",IF(AND(YEAR(NovDom1+2)=CalendárioAno,MONTH(NovDom1+2)=11),NovDom1+2,""))</f>
        <v/>
      </c>
      <c r="D51" s="7">
        <f>IF(DAY(NovDom1)=1,"",IF(AND(YEAR(NovDom1+3)=CalendárioAno,MONTH(NovDom1+3)=11),NovDom1+3,""))</f>
        <v>43040</v>
      </c>
      <c r="E51" s="7">
        <f>IF(DAY(NovDom1)=1,"",IF(AND(YEAR(NovDom1+4)=CalendárioAno,MONTH(NovDom1+4)=11),NovDom1+4,""))</f>
        <v>43041</v>
      </c>
      <c r="F51" s="7">
        <f>IF(DAY(NovDom1)=1,"",IF(AND(YEAR(NovDom1+5)=CalendárioAno,MONTH(NovDom1+5)=11),NovDom1+5,""))</f>
        <v>43042</v>
      </c>
      <c r="G51" s="36">
        <f>IF(DAY(NovDom1)=1,"",IF(AND(YEAR(NovDom1+6)=CalendárioAno,MONTH(NovDom1+6)=11),NovDom1+6,""))</f>
        <v>43043</v>
      </c>
      <c r="H51" s="36">
        <f>IF(DAY(NovDom1)=1,IF(AND(YEAR(NovDom1)=CalendárioAno,MONTH(NovDom1)=11),NovDom1,""),IF(AND(YEAR(NovDom1+7)=CalendárioAno,MONTH(NovDom1+7)=11),NovDom1+7,""))</f>
        <v>43044</v>
      </c>
      <c r="I51" s="30"/>
      <c r="J51" s="7" t="str">
        <f>IF(DAY(DezDom1)=1,"",IF(AND(YEAR(DezDom1+1)=CalendárioAno,MONTH(DezDom1+1)=12),DezDom1+1,""))</f>
        <v/>
      </c>
      <c r="K51" s="7" t="str">
        <f>IF(DAY(DezDom1)=1,"",IF(AND(YEAR(DezDom1+2)=CalendárioAno,MONTH(DezDom1+2)=12),DezDom1+2,""))</f>
        <v/>
      </c>
      <c r="L51" s="7" t="str">
        <f>IF(DAY(DezDom1)=1,"",IF(AND(YEAR(DezDom1+3)=CalendárioAno,MONTH(DezDom1+3)=12),DezDom1+3,""))</f>
        <v/>
      </c>
      <c r="M51" s="7" t="str">
        <f>IF(DAY(DezDom1)=1,"",IF(AND(YEAR(DezDom1+4)=CalendárioAno,MONTH(DezDom1+4)=12),DezDom1+4,""))</f>
        <v/>
      </c>
      <c r="N51" s="7">
        <f>IF(DAY(DezDom1)=1,"",IF(AND(YEAR(DezDom1+5)=CalendárioAno,MONTH(DezDom1+5)=12),DezDom1+5,""))</f>
        <v>43070</v>
      </c>
      <c r="O51" s="36">
        <f>IF(DAY(DezDom1)=1,"",IF(AND(YEAR(DezDom1+6)=CalendárioAno,MONTH(DezDom1+6)=12),DezDom1+6,""))</f>
        <v>43071</v>
      </c>
      <c r="P51" s="36">
        <f>IF(DAY(DezDom1)=1,IF(AND(YEAR(DezDom1)=CalendárioAno,MONTH(DezDom1)=12),DezDom1,""),IF(AND(YEAR(DezDom1+7)=CalendárioAno,MONTH(DezDom1+7)=12),DezDom1+7,""))</f>
        <v>43072</v>
      </c>
      <c r="Q51" s="21"/>
      <c r="R51" s="51"/>
      <c r="S51" s="44"/>
      <c r="T51" s="106"/>
      <c r="U51" s="107"/>
      <c r="V51" s="42"/>
      <c r="W51" s="41"/>
      <c r="X51" s="51"/>
      <c r="Y51" s="22"/>
      <c r="Z51" s="23"/>
    </row>
    <row r="52" spans="2:26" ht="17.100000000000001" customHeight="1" x14ac:dyDescent="0.25">
      <c r="B52" s="88">
        <f>IF(DAY(NovDom1)=1,IF(AND(YEAR(NovDom1+1)=CalendárioAno,MONTH(NovDom1+1)=11),NovDom1+1,""),IF(AND(YEAR(NovDom1+8)=CalendárioAno,MONTH(NovDom1+8)=11),NovDom1+8,""))</f>
        <v>43045</v>
      </c>
      <c r="C52" s="7">
        <f>IF(DAY(NovDom1)=1,IF(AND(YEAR(NovDom1+2)=CalendárioAno,MONTH(NovDom1+2)=11),NovDom1+2,""),IF(AND(YEAR(NovDom1+9)=CalendárioAno,MONTH(NovDom1+9)=11),NovDom1+9,""))</f>
        <v>43046</v>
      </c>
      <c r="D52" s="7">
        <f>IF(DAY(NovDom1)=1,IF(AND(YEAR(NovDom1+3)=CalendárioAno,MONTH(NovDom1+3)=11),NovDom1+3,""),IF(AND(YEAR(NovDom1+10)=CalendárioAno,MONTH(NovDom1+10)=11),NovDom1+10,""))</f>
        <v>43047</v>
      </c>
      <c r="E52" s="7">
        <f>IF(DAY(NovDom1)=1,IF(AND(YEAR(NovDom1+4)=CalendárioAno,MONTH(NovDom1+4)=11),NovDom1+4,""),IF(AND(YEAR(NovDom1+11)=CalendárioAno,MONTH(NovDom1+11)=11),NovDom1+11,""))</f>
        <v>43048</v>
      </c>
      <c r="F52" s="7">
        <f>IF(DAY(NovDom1)=1,IF(AND(YEAR(NovDom1+5)=CalendárioAno,MONTH(NovDom1+5)=11),NovDom1+5,""),IF(AND(YEAR(NovDom1+12)=CalendárioAno,MONTH(NovDom1+12)=11),NovDom1+12,""))</f>
        <v>43049</v>
      </c>
      <c r="G52" s="36">
        <f>IF(DAY(NovDom1)=1,IF(AND(YEAR(NovDom1+6)=CalendárioAno,MONTH(NovDom1+6)=11),NovDom1+6,""),IF(AND(YEAR(NovDom1+13)=CalendárioAno,MONTH(NovDom1+13)=11),NovDom1+13,""))</f>
        <v>43050</v>
      </c>
      <c r="H52" s="36">
        <f>IF(DAY(NovDom1)=1,IF(AND(YEAR(NovDom1+7)=CalendárioAno,MONTH(NovDom1+7)=11),NovDom1+7,""),IF(AND(YEAR(NovDom1+14)=CalendárioAno,MONTH(NovDom1+14)=11),NovDom1+14,""))</f>
        <v>43051</v>
      </c>
      <c r="I52" s="30"/>
      <c r="J52" s="7">
        <f>IF(DAY(DezDom1)=1,IF(AND(YEAR(DezDom1+1)=CalendárioAno,MONTH(DezDom1+1)=12),DezDom1+1,""),IF(AND(YEAR(DezDom1+8)=CalendárioAno,MONTH(DezDom1+8)=12),DezDom1+8,""))</f>
        <v>43073</v>
      </c>
      <c r="K52" s="7">
        <f>IF(DAY(DezDom1)=1,IF(AND(YEAR(DezDom1+2)=CalendárioAno,MONTH(DezDom1+2)=12),DezDom1+2,""),IF(AND(YEAR(DezDom1+9)=CalendárioAno,MONTH(DezDom1+9)=12),DezDom1+9,""))</f>
        <v>43074</v>
      </c>
      <c r="L52" s="7">
        <f>IF(DAY(DezDom1)=1,IF(AND(YEAR(DezDom1+3)=CalendárioAno,MONTH(DezDom1+3)=12),DezDom1+3,""),IF(AND(YEAR(DezDom1+10)=CalendárioAno,MONTH(DezDom1+10)=12),DezDom1+10,""))</f>
        <v>43075</v>
      </c>
      <c r="M52" s="7">
        <f>IF(DAY(DezDom1)=1,IF(AND(YEAR(DezDom1+4)=CalendárioAno,MONTH(DezDom1+4)=12),DezDom1+4,""),IF(AND(YEAR(DezDom1+11)=CalendárioAno,MONTH(DezDom1+11)=12),DezDom1+11,""))</f>
        <v>43076</v>
      </c>
      <c r="N52" s="7">
        <f>IF(DAY(DezDom1)=1,IF(AND(YEAR(DezDom1+5)=CalendárioAno,MONTH(DezDom1+5)=12),DezDom1+5,""),IF(AND(YEAR(DezDom1+12)=CalendárioAno,MONTH(DezDom1+12)=12),DezDom1+12,""))</f>
        <v>43077</v>
      </c>
      <c r="O52" s="36">
        <f>IF(DAY(DezDom1)=1,IF(AND(YEAR(DezDom1+6)=CalendárioAno,MONTH(DezDom1+6)=12),DezDom1+6,""),IF(AND(YEAR(DezDom1+13)=CalendárioAno,MONTH(DezDom1+13)=12),DezDom1+13,""))</f>
        <v>43078</v>
      </c>
      <c r="P52" s="36">
        <f>IF(DAY(DezDom1)=1,IF(AND(YEAR(DezDom1+7)=CalendárioAno,MONTH(DezDom1+7)=12),DezDom1+7,""),IF(AND(YEAR(DezDom1+14)=CalendárioAno,MONTH(DezDom1+14)=12),DezDom1+14,""))</f>
        <v>43079</v>
      </c>
      <c r="Q52" s="21"/>
      <c r="R52" s="51"/>
      <c r="S52" s="44"/>
      <c r="T52" s="106"/>
      <c r="U52" s="107"/>
      <c r="V52" s="42"/>
      <c r="W52" s="41"/>
      <c r="X52" s="51"/>
      <c r="Y52" s="22"/>
      <c r="Z52" s="23"/>
    </row>
    <row r="53" spans="2:26" ht="17.100000000000001" customHeight="1" x14ac:dyDescent="0.25">
      <c r="B53" s="88">
        <f>IF(DAY(NovDom1)=1,IF(AND(YEAR(NovDom1+8)=CalendárioAno,MONTH(NovDom1+8)=11),NovDom1+8,""),IF(AND(YEAR(NovDom1+15)=CalendárioAno,MONTH(NovDom1+15)=11),NovDom1+15,""))</f>
        <v>43052</v>
      </c>
      <c r="C53" s="7">
        <f>IF(DAY(NovDom1)=1,IF(AND(YEAR(NovDom1+9)=CalendárioAno,MONTH(NovDom1+9)=11),NovDom1+9,""),IF(AND(YEAR(NovDom1+16)=CalendárioAno,MONTH(NovDom1+16)=11),NovDom1+16,""))</f>
        <v>43053</v>
      </c>
      <c r="D53" s="7">
        <f>IF(DAY(NovDom1)=1,IF(AND(YEAR(NovDom1+10)=CalendárioAno,MONTH(NovDom1+10)=11),NovDom1+10,""),IF(AND(YEAR(NovDom1+17)=CalendárioAno,MONTH(NovDom1+17)=11),NovDom1+17,""))</f>
        <v>43054</v>
      </c>
      <c r="E53" s="7">
        <f>IF(DAY(NovDom1)=1,IF(AND(YEAR(NovDom1+11)=CalendárioAno,MONTH(NovDom1+11)=11),NovDom1+11,""),IF(AND(YEAR(NovDom1+18)=CalendárioAno,MONTH(NovDom1+18)=11),NovDom1+18,""))</f>
        <v>43055</v>
      </c>
      <c r="F53" s="7">
        <f>IF(DAY(NovDom1)=1,IF(AND(YEAR(NovDom1+12)=CalendárioAno,MONTH(NovDom1+12)=11),NovDom1+12,""),IF(AND(YEAR(NovDom1+19)=CalendárioAno,MONTH(NovDom1+19)=11),NovDom1+19,""))</f>
        <v>43056</v>
      </c>
      <c r="G53" s="36">
        <f>IF(DAY(NovDom1)=1,IF(AND(YEAR(NovDom1+13)=CalendárioAno,MONTH(NovDom1+13)=11),NovDom1+13,""),IF(AND(YEAR(NovDom1+20)=CalendárioAno,MONTH(NovDom1+20)=11),NovDom1+20,""))</f>
        <v>43057</v>
      </c>
      <c r="H53" s="36">
        <f>IF(DAY(NovDom1)=1,IF(AND(YEAR(NovDom1+14)=CalendárioAno,MONTH(NovDom1+14)=11),NovDom1+14,""),IF(AND(YEAR(NovDom1+21)=CalendárioAno,MONTH(NovDom1+21)=11),NovDom1+21,""))</f>
        <v>43058</v>
      </c>
      <c r="I53" s="30"/>
      <c r="J53" s="7">
        <f>IF(DAY(DezDom1)=1,IF(AND(YEAR(DezDom1+8)=CalendárioAno,MONTH(DezDom1+8)=12),DezDom1+8,""),IF(AND(YEAR(DezDom1+15)=CalendárioAno,MONTH(DezDom1+15)=12),DezDom1+15,""))</f>
        <v>43080</v>
      </c>
      <c r="K53" s="7">
        <f>IF(DAY(DezDom1)=1,IF(AND(YEAR(DezDom1+9)=CalendárioAno,MONTH(DezDom1+9)=12),DezDom1+9,""),IF(AND(YEAR(DezDom1+16)=CalendárioAno,MONTH(DezDom1+16)=12),DezDom1+16,""))</f>
        <v>43081</v>
      </c>
      <c r="L53" s="7">
        <f>IF(DAY(DezDom1)=1,IF(AND(YEAR(DezDom1+10)=CalendárioAno,MONTH(DezDom1+10)=12),DezDom1+10,""),IF(AND(YEAR(DezDom1+17)=CalendárioAno,MONTH(DezDom1+17)=12),DezDom1+17,""))</f>
        <v>43082</v>
      </c>
      <c r="M53" s="7">
        <f>IF(DAY(DezDom1)=1,IF(AND(YEAR(DezDom1+11)=CalendárioAno,MONTH(DezDom1+11)=12),DezDom1+11,""),IF(AND(YEAR(DezDom1+18)=CalendárioAno,MONTH(DezDom1+18)=12),DezDom1+18,""))</f>
        <v>43083</v>
      </c>
      <c r="N53" s="7">
        <f>IF(DAY(DezDom1)=1,IF(AND(YEAR(DezDom1+12)=CalendárioAno,MONTH(DezDom1+12)=12),DezDom1+12,""),IF(AND(YEAR(DezDom1+19)=CalendárioAno,MONTH(DezDom1+19)=12),DezDom1+19,""))</f>
        <v>43084</v>
      </c>
      <c r="O53" s="36">
        <f>IF(DAY(DezDom1)=1,IF(AND(YEAR(DezDom1+13)=CalendárioAno,MONTH(DezDom1+13)=12),DezDom1+13,""),IF(AND(YEAR(DezDom1+20)=CalendárioAno,MONTH(DezDom1+20)=12),DezDom1+20,""))</f>
        <v>43085</v>
      </c>
      <c r="P53" s="36">
        <f>IF(DAY(DezDom1)=1,IF(AND(YEAR(DezDom1+14)=CalendárioAno,MONTH(DezDom1+14)=12),DezDom1+14,""),IF(AND(YEAR(DezDom1+21)=CalendárioAno,MONTH(DezDom1+21)=12),DezDom1+21,""))</f>
        <v>43086</v>
      </c>
      <c r="Q53" s="29"/>
      <c r="R53" s="51"/>
      <c r="S53" s="44"/>
      <c r="T53" s="106" t="s">
        <v>91</v>
      </c>
      <c r="U53" s="107"/>
      <c r="V53" s="42" t="s">
        <v>73</v>
      </c>
      <c r="W53" s="57" t="s">
        <v>74</v>
      </c>
      <c r="X53" s="51"/>
      <c r="Y53" s="22"/>
      <c r="Z53" s="23"/>
    </row>
    <row r="54" spans="2:26" ht="17.100000000000001" customHeight="1" x14ac:dyDescent="0.25">
      <c r="B54" s="88">
        <f>IF(DAY(NovDom1)=1,IF(AND(YEAR(NovDom1+15)=CalendárioAno,MONTH(NovDom1+15)=11),NovDom1+15,""),IF(AND(YEAR(NovDom1+22)=CalendárioAno,MONTH(NovDom1+22)=11),NovDom1+22,""))</f>
        <v>43059</v>
      </c>
      <c r="C54" s="7">
        <f>IF(DAY(NovDom1)=1,IF(AND(YEAR(NovDom1+16)=CalendárioAno,MONTH(NovDom1+16)=11),NovDom1+16,""),IF(AND(YEAR(NovDom1+23)=CalendárioAno,MONTH(NovDom1+23)=11),NovDom1+23,""))</f>
        <v>43060</v>
      </c>
      <c r="D54" s="7">
        <f>IF(DAY(NovDom1)=1,IF(AND(YEAR(NovDom1+17)=CalendárioAno,MONTH(NovDom1+17)=11),NovDom1+17,""),IF(AND(YEAR(NovDom1+24)=CalendárioAno,MONTH(NovDom1+24)=11),NovDom1+24,""))</f>
        <v>43061</v>
      </c>
      <c r="E54" s="7">
        <f>IF(DAY(NovDom1)=1,IF(AND(YEAR(NovDom1+18)=CalendárioAno,MONTH(NovDom1+18)=11),NovDom1+18,""),IF(AND(YEAR(NovDom1+25)=CalendárioAno,MONTH(NovDom1+25)=11),NovDom1+25,""))</f>
        <v>43062</v>
      </c>
      <c r="F54" s="7">
        <f>IF(DAY(NovDom1)=1,IF(AND(YEAR(NovDom1+19)=CalendárioAno,MONTH(NovDom1+19)=11),NovDom1+19,""),IF(AND(YEAR(NovDom1+26)=CalendárioAno,MONTH(NovDom1+26)=11),NovDom1+26,""))</f>
        <v>43063</v>
      </c>
      <c r="G54" s="36">
        <f>IF(DAY(NovDom1)=1,IF(AND(YEAR(NovDom1+20)=CalendárioAno,MONTH(NovDom1+20)=11),NovDom1+20,""),IF(AND(YEAR(NovDom1+27)=CalendárioAno,MONTH(NovDom1+27)=11),NovDom1+27,""))</f>
        <v>43064</v>
      </c>
      <c r="H54" s="36">
        <f>IF(DAY(NovDom1)=1,IF(AND(YEAR(NovDom1+21)=CalendárioAno,MONTH(NovDom1+21)=11),NovDom1+21,""),IF(AND(YEAR(NovDom1+28)=CalendárioAno,MONTH(NovDom1+28)=11),NovDom1+28,""))</f>
        <v>43065</v>
      </c>
      <c r="I54" s="30"/>
      <c r="J54" s="7">
        <f>IF(DAY(DezDom1)=1,IF(AND(YEAR(DezDom1+15)=CalendárioAno,MONTH(DezDom1+15)=12),DezDom1+15,""),IF(AND(YEAR(DezDom1+22)=CalendárioAno,MONTH(DezDom1+22)=12),DezDom1+22,""))</f>
        <v>43087</v>
      </c>
      <c r="K54" s="7">
        <f>IF(DAY(DezDom1)=1,IF(AND(YEAR(DezDom1+16)=CalendárioAno,MONTH(DezDom1+16)=12),DezDom1+16,""),IF(AND(YEAR(DezDom1+23)=CalendárioAno,MONTH(DezDom1+23)=12),DezDom1+23,""))</f>
        <v>43088</v>
      </c>
      <c r="L54" s="7">
        <f>IF(DAY(DezDom1)=1,IF(AND(YEAR(DezDom1+17)=CalendárioAno,MONTH(DezDom1+17)=12),DezDom1+17,""),IF(AND(YEAR(DezDom1+24)=CalendárioAno,MONTH(DezDom1+24)=12),DezDom1+24,""))</f>
        <v>43089</v>
      </c>
      <c r="M54" s="7">
        <f>IF(DAY(DezDom1)=1,IF(AND(YEAR(DezDom1+18)=CalendárioAno,MONTH(DezDom1+18)=12),DezDom1+18,""),IF(AND(YEAR(DezDom1+25)=CalendárioAno,MONTH(DezDom1+25)=12),DezDom1+25,""))</f>
        <v>43090</v>
      </c>
      <c r="N54" s="7">
        <f>IF(DAY(DezDom1)=1,IF(AND(YEAR(DezDom1+19)=CalendárioAno,MONTH(DezDom1+19)=12),DezDom1+19,""),IF(AND(YEAR(DezDom1+26)=CalendárioAno,MONTH(DezDom1+26)=12),DezDom1+26,""))</f>
        <v>43091</v>
      </c>
      <c r="O54" s="36">
        <f>IF(DAY(DezDom1)=1,IF(AND(YEAR(DezDom1+20)=CalendárioAno,MONTH(DezDom1+20)=12),DezDom1+20,""),IF(AND(YEAR(DezDom1+27)=CalendárioAno,MONTH(DezDom1+27)=12),DezDom1+27,""))</f>
        <v>43092</v>
      </c>
      <c r="P54" s="36">
        <f>IF(DAY(DezDom1)=1,IF(AND(YEAR(DezDom1+21)=CalendárioAno,MONTH(DezDom1+21)=12),DezDom1+21,""),IF(AND(YEAR(DezDom1+28)=CalendárioAno,MONTH(DezDom1+28)=12),DezDom1+28,""))</f>
        <v>43093</v>
      </c>
      <c r="Q54" s="21"/>
      <c r="R54" s="51"/>
      <c r="S54" s="61"/>
      <c r="T54" s="105" t="s">
        <v>44</v>
      </c>
      <c r="U54" s="105"/>
      <c r="V54" s="54"/>
      <c r="W54" s="54"/>
      <c r="X54" s="51"/>
      <c r="Y54" s="22"/>
      <c r="Z54" s="23"/>
    </row>
    <row r="55" spans="2:26" ht="17.100000000000001" customHeight="1" x14ac:dyDescent="0.25">
      <c r="B55" s="88">
        <f>IF(DAY(NovDom1)=1,IF(AND(YEAR(NovDom1+22)=CalendárioAno,MONTH(NovDom1+22)=11),NovDom1+22,""),IF(AND(YEAR(NovDom1+29)=CalendárioAno,MONTH(NovDom1+29)=11),NovDom1+29,""))</f>
        <v>43066</v>
      </c>
      <c r="C55" s="7">
        <f>IF(DAY(NovDom1)=1,IF(AND(YEAR(NovDom1+23)=CalendárioAno,MONTH(NovDom1+23)=11),NovDom1+23,""),IF(AND(YEAR(NovDom1+30)=CalendárioAno,MONTH(NovDom1+30)=11),NovDom1+30,""))</f>
        <v>43067</v>
      </c>
      <c r="D55" s="7">
        <f>IF(DAY(NovDom1)=1,IF(AND(YEAR(NovDom1+24)=CalendárioAno,MONTH(NovDom1+24)=11),NovDom1+24,""),IF(AND(YEAR(NovDom1+31)=CalendárioAno,MONTH(NovDom1+31)=11),NovDom1+31,""))</f>
        <v>43068</v>
      </c>
      <c r="E55" s="7">
        <f>IF(DAY(NovDom1)=1,IF(AND(YEAR(NovDom1+25)=CalendárioAno,MONTH(NovDom1+25)=11),NovDom1+25,""),IF(AND(YEAR(NovDom1+32)=CalendárioAno,MONTH(NovDom1+32)=11),NovDom1+32,""))</f>
        <v>43069</v>
      </c>
      <c r="F55" s="7" t="str">
        <f>IF(DAY(NovDom1)=1,IF(AND(YEAR(NovDom1+26)=CalendárioAno,MONTH(NovDom1+26)=11),NovDom1+26,""),IF(AND(YEAR(NovDom1+33)=CalendárioAno,MONTH(NovDom1+33)=11),NovDom1+33,""))</f>
        <v/>
      </c>
      <c r="G55" s="7" t="str">
        <f>IF(DAY(NovDom1)=1,IF(AND(YEAR(NovDom1+27)=CalendárioAno,MONTH(NovDom1+27)=11),NovDom1+27,""),IF(AND(YEAR(NovDom1+34)=CalendárioAno,MONTH(NovDom1+34)=11),NovDom1+34,""))</f>
        <v/>
      </c>
      <c r="H55" s="7" t="str">
        <f>IF(DAY(NovDom1)=1,IF(AND(YEAR(NovDom1+28)=CalendárioAno,MONTH(NovDom1+28)=11),NovDom1+28,""),IF(AND(YEAR(NovDom1+35)=CalendárioAno,MONTH(NovDom1+35)=11),NovDom1+35,""))</f>
        <v/>
      </c>
      <c r="I55" s="30"/>
      <c r="J55" s="7">
        <f>IF(DAY(DezDom1)=1,IF(AND(YEAR(DezDom1+22)=CalendárioAno,MONTH(DezDom1+22)=12),DezDom1+22,""),IF(AND(YEAR(DezDom1+29)=CalendárioAno,MONTH(DezDom1+29)=12),DezDom1+29,""))</f>
        <v>43094</v>
      </c>
      <c r="K55" s="7">
        <f>IF(DAY(DezDom1)=1,IF(AND(YEAR(DezDom1+23)=CalendárioAno,MONTH(DezDom1+23)=12),DezDom1+23,""),IF(AND(YEAR(DezDom1+30)=CalendárioAno,MONTH(DezDom1+30)=12),DezDom1+30,""))</f>
        <v>43095</v>
      </c>
      <c r="L55" s="7">
        <f>IF(DAY(DezDom1)=1,IF(AND(YEAR(DezDom1+24)=CalendárioAno,MONTH(DezDom1+24)=12),DezDom1+24,""),IF(AND(YEAR(DezDom1+31)=CalendárioAno,MONTH(DezDom1+31)=12),DezDom1+31,""))</f>
        <v>43096</v>
      </c>
      <c r="M55" s="7">
        <f>IF(DAY(DezDom1)=1,IF(AND(YEAR(DezDom1+25)=CalendárioAno,MONTH(DezDom1+25)=12),DezDom1+25,""),IF(AND(YEAR(DezDom1+32)=CalendárioAno,MONTH(DezDom1+32)=12),DezDom1+32,""))</f>
        <v>43097</v>
      </c>
      <c r="N55" s="7">
        <f>IF(DAY(DezDom1)=1,IF(AND(YEAR(DezDom1+26)=CalendárioAno,MONTH(DezDom1+26)=12),DezDom1+26,""),IF(AND(YEAR(DezDom1+33)=CalendárioAno,MONTH(DezDom1+33)=12),DezDom1+33,""))</f>
        <v>43098</v>
      </c>
      <c r="O55" s="36">
        <f>IF(DAY(DezDom1)=1,IF(AND(YEAR(DezDom1+27)=CalendárioAno,MONTH(DezDom1+27)=12),DezDom1+27,""),IF(AND(YEAR(DezDom1+34)=CalendárioAno,MONTH(DezDom1+34)=12),DezDom1+34,""))</f>
        <v>43099</v>
      </c>
      <c r="P55" s="36">
        <f>IF(DAY(DezDom1)=1,IF(AND(YEAR(DezDom1+28)=CalendárioAno,MONTH(DezDom1+28)=12),DezDom1+28,""),IF(AND(YEAR(DezDom1+35)=CalendárioAno,MONTH(DezDom1+35)=12),DezDom1+35,""))</f>
        <v>43100</v>
      </c>
      <c r="Q55" s="21"/>
      <c r="R55" s="51"/>
      <c r="S55" s="44"/>
      <c r="T55" s="106" t="s">
        <v>125</v>
      </c>
      <c r="U55" s="107"/>
      <c r="V55" s="42"/>
      <c r="W55" s="41"/>
      <c r="X55" s="51"/>
      <c r="Y55" s="22"/>
      <c r="Z55" s="23"/>
    </row>
    <row r="56" spans="2:26" ht="17.100000000000001" customHeight="1" x14ac:dyDescent="0.25">
      <c r="B56" s="88"/>
      <c r="C56" s="7"/>
      <c r="D56" s="7"/>
      <c r="E56" s="7"/>
      <c r="F56" s="7" t="str">
        <f>IF(DAY(NovDom1)=1,IF(AND(YEAR(NovDom1+26)=CalendárioAno,MONTH(NovDom1+26)=11),NovDom1+26,""),IF(AND(YEAR(NovDom1+33)=CalendárioAno,MONTH(NovDom1+33)=11),NovDom1+33,""))</f>
        <v/>
      </c>
      <c r="G56" s="7" t="str">
        <f>IF(DAY(NovDom1)=1,IF(AND(YEAR(NovDom1+27)=CalendárioAno,MONTH(NovDom1+27)=11),NovDom1+27,""),IF(AND(YEAR(NovDom1+34)=CalendárioAno,MONTH(NovDom1+34)=11),NovDom1+34,""))</f>
        <v/>
      </c>
      <c r="H56" s="7" t="str">
        <f>IF(DAY(NovDom1)=1,IF(AND(YEAR(NovDom1+28)=CalendárioAno,MONTH(NovDom1+28)=11),NovDom1+28,""),IF(AND(YEAR(NovDom1+35)=CalendárioAno,MONTH(NovDom1+35)=11),NovDom1+35,""))</f>
        <v/>
      </c>
      <c r="I56" s="30"/>
      <c r="J56" s="7"/>
      <c r="K56" s="7"/>
      <c r="L56" s="7"/>
      <c r="M56" s="7"/>
      <c r="N56" s="7"/>
      <c r="O56" s="7"/>
      <c r="P56" s="7"/>
      <c r="Q56" s="33"/>
      <c r="R56" s="51"/>
      <c r="S56" s="44"/>
      <c r="T56" s="106" t="s">
        <v>126</v>
      </c>
      <c r="U56" s="107"/>
      <c r="V56" s="42"/>
      <c r="W56" s="41"/>
      <c r="X56" s="51"/>
      <c r="Y56" s="25"/>
      <c r="Z56" s="23"/>
    </row>
    <row r="57" spans="2:26" ht="17.100000000000001" customHeight="1" x14ac:dyDescent="0.25">
      <c r="B57" s="88"/>
      <c r="C57" s="7"/>
      <c r="D57" s="7"/>
      <c r="E57" s="7"/>
      <c r="F57" s="7"/>
      <c r="G57" s="7"/>
      <c r="H57" s="7"/>
      <c r="I57" s="30"/>
      <c r="J57" s="7"/>
      <c r="K57" s="36"/>
      <c r="L57" s="7"/>
      <c r="M57" s="7"/>
      <c r="N57" s="7"/>
      <c r="O57" s="7"/>
      <c r="P57" s="7"/>
      <c r="Q57" s="35"/>
      <c r="R57" s="51"/>
      <c r="S57" s="44"/>
      <c r="T57" s="106"/>
      <c r="U57" s="107"/>
      <c r="V57" s="42"/>
      <c r="W57" s="41"/>
      <c r="X57" s="51"/>
      <c r="Y57" s="25"/>
      <c r="Z57" s="23"/>
    </row>
    <row r="58" spans="2:26" ht="17.100000000000001" customHeight="1" thickBot="1" x14ac:dyDescent="0.3">
      <c r="B58" s="94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8"/>
      <c r="R58" s="53"/>
      <c r="S58" s="55"/>
      <c r="T58" s="108"/>
      <c r="U58" s="108"/>
      <c r="V58" s="56"/>
      <c r="W58" s="56"/>
      <c r="X58" s="53"/>
      <c r="Y58" s="38"/>
      <c r="Z58" s="39"/>
    </row>
    <row r="59" spans="2:26" ht="17.100000000000001" customHeight="1" thickBot="1" x14ac:dyDescent="0.3">
      <c r="B59" s="7"/>
      <c r="C59" s="7"/>
      <c r="D59" s="7"/>
      <c r="E59" s="7"/>
      <c r="F59" s="7"/>
      <c r="G59" s="7"/>
      <c r="H59" s="7"/>
      <c r="I59" s="30"/>
      <c r="J59" s="7"/>
      <c r="K59" s="36"/>
      <c r="L59" s="7"/>
      <c r="M59" s="7"/>
      <c r="N59" s="7"/>
      <c r="O59" s="7"/>
      <c r="P59" s="7"/>
      <c r="Q59" s="7"/>
      <c r="R59" s="7"/>
      <c r="S59" s="7"/>
      <c r="U59" s="7"/>
      <c r="V59" s="7"/>
      <c r="W59" s="7"/>
      <c r="X59" s="7"/>
      <c r="Y59" s="7"/>
      <c r="Z59" s="21"/>
    </row>
    <row r="60" spans="2:26" ht="15" customHeight="1" thickBot="1" x14ac:dyDescent="0.3">
      <c r="T60" s="73" t="s">
        <v>10</v>
      </c>
      <c r="U60" s="117" t="s">
        <v>100</v>
      </c>
      <c r="V60" s="118"/>
      <c r="W60" s="72" t="s">
        <v>11</v>
      </c>
      <c r="X60" s="20"/>
    </row>
    <row r="61" spans="2:26" ht="15" customHeight="1" x14ac:dyDescent="0.25">
      <c r="T61" s="73"/>
      <c r="U61" s="104" t="s">
        <v>76</v>
      </c>
      <c r="V61" s="104"/>
      <c r="W61" s="73"/>
    </row>
    <row r="62" spans="2:26" ht="15" customHeight="1" x14ac:dyDescent="0.25">
      <c r="B62" s="58"/>
      <c r="C62" s="58"/>
      <c r="D62" s="58"/>
      <c r="E62" s="58"/>
      <c r="F62" s="58"/>
      <c r="G62" s="58"/>
      <c r="H62" s="119"/>
      <c r="I62" s="119"/>
      <c r="J62" s="119"/>
      <c r="K62" s="119"/>
      <c r="L62" s="119"/>
      <c r="M62" s="119"/>
      <c r="N62" s="58"/>
      <c r="O62" s="58"/>
      <c r="P62" s="58"/>
      <c r="Q62" s="58"/>
      <c r="R62" s="84"/>
      <c r="S62" s="81"/>
      <c r="T62" s="74" t="s">
        <v>129</v>
      </c>
      <c r="U62" s="101" t="s">
        <v>96</v>
      </c>
      <c r="V62" s="101"/>
      <c r="W62" s="74" t="s">
        <v>108</v>
      </c>
      <c r="X62" s="40"/>
    </row>
    <row r="63" spans="2:26" ht="15" customHeight="1" x14ac:dyDescent="0.25">
      <c r="B63" s="58"/>
      <c r="C63" s="58"/>
      <c r="D63" s="58"/>
      <c r="E63" s="58"/>
      <c r="F63" s="58"/>
      <c r="G63" s="58"/>
      <c r="H63" s="119"/>
      <c r="I63" s="121"/>
      <c r="J63" s="120"/>
      <c r="K63" s="120"/>
      <c r="L63" s="121"/>
      <c r="M63" s="119"/>
      <c r="N63" s="58"/>
      <c r="O63" s="58"/>
      <c r="P63" s="58"/>
      <c r="Q63" s="58"/>
      <c r="R63" s="84"/>
      <c r="S63" s="81"/>
      <c r="T63" s="74" t="s">
        <v>128</v>
      </c>
      <c r="U63" s="101" t="s">
        <v>97</v>
      </c>
      <c r="V63" s="101"/>
      <c r="W63" s="74" t="s">
        <v>108</v>
      </c>
      <c r="X63" s="40"/>
    </row>
    <row r="64" spans="2:26" ht="1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84"/>
      <c r="S64" s="82"/>
      <c r="T64" s="75"/>
      <c r="U64" s="100" t="s">
        <v>0</v>
      </c>
      <c r="V64" s="100"/>
      <c r="W64" s="75"/>
      <c r="X64" s="40"/>
    </row>
    <row r="65" spans="2:24" ht="1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84"/>
      <c r="S65" s="81"/>
      <c r="T65" s="74" t="s">
        <v>117</v>
      </c>
      <c r="U65" s="101" t="s">
        <v>99</v>
      </c>
      <c r="V65" s="101"/>
      <c r="W65" s="74" t="s">
        <v>98</v>
      </c>
      <c r="X65" s="40"/>
    </row>
    <row r="66" spans="2:24" ht="1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84"/>
      <c r="S66" s="81"/>
      <c r="T66" s="74" t="s">
        <v>116</v>
      </c>
      <c r="U66" s="101" t="s">
        <v>64</v>
      </c>
      <c r="V66" s="101"/>
      <c r="W66" s="74" t="s">
        <v>63</v>
      </c>
      <c r="X66" s="40"/>
    </row>
    <row r="67" spans="2:24" ht="1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84"/>
      <c r="S67" s="81"/>
      <c r="T67" s="74" t="s">
        <v>57</v>
      </c>
      <c r="U67" s="101" t="s">
        <v>56</v>
      </c>
      <c r="V67" s="101"/>
      <c r="W67" s="74" t="s">
        <v>58</v>
      </c>
      <c r="X67" s="40"/>
    </row>
    <row r="68" spans="2:24" ht="1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84"/>
      <c r="S68" s="81"/>
      <c r="T68" s="74" t="s">
        <v>103</v>
      </c>
      <c r="U68" s="101" t="s">
        <v>62</v>
      </c>
      <c r="V68" s="101"/>
      <c r="W68" s="74" t="s">
        <v>109</v>
      </c>
      <c r="X68" s="40"/>
    </row>
    <row r="69" spans="2:24" ht="1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84"/>
      <c r="S69" s="59"/>
      <c r="T69" s="76"/>
      <c r="U69" s="100" t="s">
        <v>1</v>
      </c>
      <c r="V69" s="100"/>
      <c r="W69" s="76"/>
      <c r="X69" s="40"/>
    </row>
    <row r="70" spans="2:24" ht="1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84"/>
      <c r="S70" s="81"/>
      <c r="T70" s="74" t="s">
        <v>101</v>
      </c>
      <c r="U70" s="101" t="s">
        <v>65</v>
      </c>
      <c r="V70" s="101"/>
      <c r="W70" s="74" t="s">
        <v>110</v>
      </c>
      <c r="X70" s="40"/>
    </row>
    <row r="71" spans="2:24" ht="1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84"/>
      <c r="S71" s="81"/>
      <c r="T71" s="74" t="s">
        <v>114</v>
      </c>
      <c r="U71" s="101" t="s">
        <v>113</v>
      </c>
      <c r="V71" s="101"/>
      <c r="W71" s="74" t="s">
        <v>118</v>
      </c>
      <c r="X71" s="40"/>
    </row>
    <row r="72" spans="2:24" ht="1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84"/>
      <c r="S72" s="81"/>
      <c r="T72" s="74" t="s">
        <v>115</v>
      </c>
      <c r="U72" s="101" t="s">
        <v>104</v>
      </c>
      <c r="V72" s="101"/>
      <c r="W72" s="74" t="s">
        <v>105</v>
      </c>
      <c r="X72" s="40"/>
    </row>
    <row r="73" spans="2:24" ht="1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84"/>
      <c r="S73" s="81"/>
      <c r="T73" s="74" t="s">
        <v>107</v>
      </c>
      <c r="U73" s="101" t="s">
        <v>106</v>
      </c>
      <c r="V73" s="101"/>
      <c r="W73" s="74" t="s">
        <v>105</v>
      </c>
      <c r="X73" s="40"/>
    </row>
    <row r="74" spans="2:24" ht="1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84"/>
      <c r="S74" s="81"/>
      <c r="T74" s="74" t="s">
        <v>102</v>
      </c>
      <c r="U74" s="101" t="s">
        <v>66</v>
      </c>
      <c r="V74" s="101"/>
      <c r="W74" s="74" t="s">
        <v>111</v>
      </c>
      <c r="X74" s="40"/>
    </row>
    <row r="75" spans="2:24" ht="1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84"/>
      <c r="S75" s="80"/>
      <c r="T75" s="77"/>
      <c r="U75" s="100" t="s">
        <v>2</v>
      </c>
      <c r="V75" s="100"/>
      <c r="W75" s="77"/>
      <c r="X75" s="40"/>
    </row>
    <row r="76" spans="2:24" ht="1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84"/>
      <c r="S76" s="81"/>
      <c r="T76" s="74" t="s">
        <v>54</v>
      </c>
      <c r="U76" s="101" t="s">
        <v>8</v>
      </c>
      <c r="V76" s="101"/>
      <c r="W76" s="74" t="s">
        <v>49</v>
      </c>
      <c r="X76" s="40"/>
    </row>
    <row r="77" spans="2:24" ht="1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84"/>
      <c r="S77" s="80"/>
      <c r="T77" s="77"/>
      <c r="U77" s="100" t="s">
        <v>3</v>
      </c>
      <c r="V77" s="100"/>
      <c r="W77" s="77"/>
      <c r="X77" s="40"/>
    </row>
    <row r="78" spans="2:24" ht="1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84"/>
      <c r="S78" s="81"/>
      <c r="T78" s="74" t="s">
        <v>52</v>
      </c>
      <c r="U78" s="101" t="s">
        <v>47</v>
      </c>
      <c r="V78" s="101"/>
      <c r="W78" s="74" t="s">
        <v>45</v>
      </c>
      <c r="X78" s="40"/>
    </row>
    <row r="79" spans="2:24" ht="1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84"/>
      <c r="S79" s="83"/>
      <c r="T79" s="78"/>
      <c r="U79" s="100" t="s">
        <v>4</v>
      </c>
      <c r="V79" s="100"/>
      <c r="W79" s="78"/>
      <c r="X79" s="40"/>
    </row>
    <row r="80" spans="2:24" ht="1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84"/>
      <c r="S80" s="81"/>
      <c r="T80" s="74" t="s">
        <v>88</v>
      </c>
      <c r="U80" s="101" t="s">
        <v>67</v>
      </c>
      <c r="V80" s="101"/>
      <c r="W80" s="74" t="s">
        <v>112</v>
      </c>
      <c r="X80" s="40"/>
    </row>
    <row r="81" spans="2:24" ht="1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84"/>
      <c r="S81" s="81"/>
      <c r="T81" s="74" t="s">
        <v>53</v>
      </c>
      <c r="U81" s="101" t="s">
        <v>48</v>
      </c>
      <c r="V81" s="101"/>
      <c r="W81" s="74" t="s">
        <v>46</v>
      </c>
      <c r="X81" s="40"/>
    </row>
    <row r="82" spans="2:24" ht="1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84"/>
      <c r="S82" s="83"/>
      <c r="T82" s="78"/>
      <c r="U82" s="100" t="s">
        <v>5</v>
      </c>
      <c r="V82" s="100"/>
      <c r="W82" s="78"/>
      <c r="X82" s="40"/>
    </row>
    <row r="83" spans="2:24" ht="1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84"/>
      <c r="S83" s="81"/>
      <c r="T83" s="74" t="s">
        <v>42</v>
      </c>
      <c r="U83" s="101" t="s">
        <v>68</v>
      </c>
      <c r="V83" s="101"/>
      <c r="W83" s="74" t="s">
        <v>109</v>
      </c>
      <c r="X83" s="40"/>
    </row>
    <row r="84" spans="2:24" x14ac:dyDescent="0.25">
      <c r="P84" s="21"/>
      <c r="Q84" s="21"/>
      <c r="R84" s="21"/>
      <c r="S84" s="80"/>
      <c r="T84" s="77"/>
      <c r="U84" s="100" t="s">
        <v>6</v>
      </c>
      <c r="V84" s="100"/>
      <c r="W84" s="77"/>
    </row>
    <row r="85" spans="2:24" x14ac:dyDescent="0.25">
      <c r="P85" s="21"/>
      <c r="Q85" s="21"/>
      <c r="R85" s="21"/>
      <c r="S85" s="81"/>
      <c r="T85" s="74" t="s">
        <v>61</v>
      </c>
      <c r="U85" s="101" t="s">
        <v>59</v>
      </c>
      <c r="V85" s="101"/>
      <c r="W85" s="74" t="s">
        <v>60</v>
      </c>
    </row>
    <row r="86" spans="2:24" x14ac:dyDescent="0.25">
      <c r="P86" s="21"/>
      <c r="Q86" s="21"/>
      <c r="R86" s="21"/>
      <c r="S86" s="80"/>
      <c r="T86" s="77"/>
      <c r="U86" s="100" t="s">
        <v>7</v>
      </c>
      <c r="V86" s="100"/>
      <c r="W86" s="77"/>
    </row>
    <row r="87" spans="2:24" x14ac:dyDescent="0.25">
      <c r="P87" s="21"/>
      <c r="Q87" s="21"/>
      <c r="R87" s="21"/>
      <c r="S87" s="81"/>
      <c r="T87" s="74" t="s">
        <v>51</v>
      </c>
      <c r="U87" s="101" t="s">
        <v>50</v>
      </c>
      <c r="V87" s="101"/>
      <c r="W87" s="74" t="s">
        <v>55</v>
      </c>
    </row>
    <row r="88" spans="2:24" ht="16.5" thickBot="1" x14ac:dyDescent="0.3">
      <c r="P88" s="21"/>
      <c r="Q88" s="21"/>
      <c r="R88" s="21"/>
      <c r="S88" s="81"/>
      <c r="T88" s="79" t="s">
        <v>120</v>
      </c>
      <c r="U88" s="116" t="s">
        <v>119</v>
      </c>
      <c r="V88" s="116"/>
      <c r="W88" s="79" t="s">
        <v>60</v>
      </c>
    </row>
    <row r="89" spans="2:24" x14ac:dyDescent="0.25">
      <c r="S89" s="85"/>
      <c r="U89" s="102"/>
      <c r="V89" s="103"/>
    </row>
    <row r="90" spans="2:24" x14ac:dyDescent="0.25">
      <c r="U90" s="95"/>
      <c r="V90" s="96"/>
    </row>
  </sheetData>
  <mergeCells count="94">
    <mergeCell ref="J63:K63"/>
    <mergeCell ref="U80:V80"/>
    <mergeCell ref="U65:V65"/>
    <mergeCell ref="U69:V69"/>
    <mergeCell ref="U70:V70"/>
    <mergeCell ref="U66:V66"/>
    <mergeCell ref="T49:U49"/>
    <mergeCell ref="T54:U54"/>
    <mergeCell ref="U76:V76"/>
    <mergeCell ref="U88:V88"/>
    <mergeCell ref="U67:V67"/>
    <mergeCell ref="U85:V85"/>
    <mergeCell ref="U77:V77"/>
    <mergeCell ref="U86:V86"/>
    <mergeCell ref="U84:V84"/>
    <mergeCell ref="U87:V87"/>
    <mergeCell ref="U75:V75"/>
    <mergeCell ref="U74:V74"/>
    <mergeCell ref="U83:V83"/>
    <mergeCell ref="U60:V60"/>
    <mergeCell ref="U64:V64"/>
    <mergeCell ref="U82:V82"/>
    <mergeCell ref="T41:U41"/>
    <mergeCell ref="T22:U22"/>
    <mergeCell ref="T23:U23"/>
    <mergeCell ref="T24:U24"/>
    <mergeCell ref="T26:U26"/>
    <mergeCell ref="T27:U27"/>
    <mergeCell ref="T28:U28"/>
    <mergeCell ref="T29:U29"/>
    <mergeCell ref="T30:U30"/>
    <mergeCell ref="T20:U20"/>
    <mergeCell ref="T19:U19"/>
    <mergeCell ref="T25:U25"/>
    <mergeCell ref="T31:U31"/>
    <mergeCell ref="T36:U36"/>
    <mergeCell ref="T6:U6"/>
    <mergeCell ref="T12:U12"/>
    <mergeCell ref="T13:U13"/>
    <mergeCell ref="T15:U15"/>
    <mergeCell ref="T18:U18"/>
    <mergeCell ref="T45:U45"/>
    <mergeCell ref="B2:E2"/>
    <mergeCell ref="T2:U2"/>
    <mergeCell ref="V2:W2"/>
    <mergeCell ref="T3:U3"/>
    <mergeCell ref="T7:U7"/>
    <mergeCell ref="T8:U8"/>
    <mergeCell ref="T10:U10"/>
    <mergeCell ref="T11:U11"/>
    <mergeCell ref="T21:U21"/>
    <mergeCell ref="T14:U14"/>
    <mergeCell ref="T17:U17"/>
    <mergeCell ref="B4:D4"/>
    <mergeCell ref="J4:L4"/>
    <mergeCell ref="T4:U4"/>
    <mergeCell ref="T5:U5"/>
    <mergeCell ref="T39:U39"/>
    <mergeCell ref="T40:U40"/>
    <mergeCell ref="T50:U50"/>
    <mergeCell ref="T51:U51"/>
    <mergeCell ref="T58:U58"/>
    <mergeCell ref="T42:U42"/>
    <mergeCell ref="T43:U43"/>
    <mergeCell ref="T44:U44"/>
    <mergeCell ref="T46:U46"/>
    <mergeCell ref="T47:U47"/>
    <mergeCell ref="T48:U48"/>
    <mergeCell ref="T52:U52"/>
    <mergeCell ref="T53:U53"/>
    <mergeCell ref="T55:U55"/>
    <mergeCell ref="T56:U56"/>
    <mergeCell ref="T57:U57"/>
    <mergeCell ref="T32:U32"/>
    <mergeCell ref="T34:U34"/>
    <mergeCell ref="T35:U35"/>
    <mergeCell ref="T37:U37"/>
    <mergeCell ref="T38:U38"/>
    <mergeCell ref="U90:V90"/>
    <mergeCell ref="B1:AA1"/>
    <mergeCell ref="U79:V79"/>
    <mergeCell ref="U72:V72"/>
    <mergeCell ref="U73:V73"/>
    <mergeCell ref="U71:V71"/>
    <mergeCell ref="U89:V89"/>
    <mergeCell ref="U63:V63"/>
    <mergeCell ref="U61:V61"/>
    <mergeCell ref="U62:V62"/>
    <mergeCell ref="U78:V78"/>
    <mergeCell ref="U68:V68"/>
    <mergeCell ref="U81:V81"/>
    <mergeCell ref="T9:U9"/>
    <mergeCell ref="T16:U16"/>
    <mergeCell ref="T33:U33"/>
  </mergeCells>
  <dataValidations count="1">
    <dataValidation allowBlank="1" showInputMessage="1" showErrorMessage="1" errorTitle="Invalid Year" error="Enter a year from 1900 to 9999, or use the scroll bar to find a year." sqref="B1:B2">
      <formula1>0</formula1>
      <formula2>0</formula2>
    </dataValidation>
  </dataValidations>
  <hyperlinks>
    <hyperlink ref="W60" r:id="rId1"/>
    <hyperlink ref="T60" r:id="rId2"/>
  </hyperlinks>
  <printOptions horizontalCentered="1"/>
  <pageMargins left="0.25" right="0.25" top="0.75" bottom="0.75" header="0.3" footer="0.3"/>
  <pageSetup paperSize="9" scale="51" firstPageNumber="0" orientation="portrait" horizontalDpi="300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Calendário FCX 2017</vt:lpstr>
      <vt:lpstr>'Calendário FCX 2017'!__xlnm.Print_Area_1</vt:lpstr>
      <vt:lpstr>'Calendário FCX 2017'!Area_de_impressao</vt:lpstr>
      <vt:lpstr>'Calendário FCX 2017'!CalendárioAno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 Luiz Mafra</dc:creator>
  <cp:lastModifiedBy>Guilherme Deola Borges</cp:lastModifiedBy>
  <cp:lastPrinted>2017-02-02T12:10:09Z</cp:lastPrinted>
  <dcterms:created xsi:type="dcterms:W3CDTF">2011-12-13T18:52:46Z</dcterms:created>
  <dcterms:modified xsi:type="dcterms:W3CDTF">2017-03-02T17:30:31Z</dcterms:modified>
</cp:coreProperties>
</file>